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180" tabRatio="859" activeTab="2"/>
  </bookViews>
  <sheets>
    <sheet name="B1.Luong noi.n" sheetId="1" r:id="rId1"/>
    <sheet name="B2.ClyBDGiay" sheetId="2" r:id="rId2"/>
    <sheet name="B3.ClysoSach" sheetId="3" r:id="rId3"/>
    <sheet name="B4.CLyFileBD" sheetId="4" r:id="rId4"/>
    <sheet name="B5.ClyGCN" sheetId="5" r:id="rId5"/>
    <sheet name="B6-Dk-the chap" sheetId="6" r:id="rId6"/>
    <sheet name="B8-Gia-BD-CD" sheetId="7" r:id="rId7"/>
    <sheet name="cap nhat" sheetId="8" r:id="rId8"/>
    <sheet name="00000000" sheetId="9" state="veryHidden" r:id="rId9"/>
  </sheets>
  <externalReferences>
    <externalReference r:id="rId12"/>
  </externalReferences>
  <definedNames>
    <definedName name="_Fill" hidden="1">#REF!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<sst xmlns="http://schemas.openxmlformats.org/spreadsheetml/2006/main" count="514" uniqueCount="269">
  <si>
    <t>STT</t>
  </si>
  <si>
    <t>Löông thaùng</t>
  </si>
  <si>
    <t>C</t>
  </si>
  <si>
    <t>Laùi xe</t>
  </si>
  <si>
    <t>Công/nhóm (nhóm 2 KTV bậc 5)</t>
  </si>
  <si>
    <t>1/2000</t>
  </si>
  <si>
    <t>1/5000</t>
  </si>
  <si>
    <t>Toång coäng</t>
  </si>
  <si>
    <t>TT</t>
  </si>
  <si>
    <t>Áp dụng cho việc cấp giấy CNQSDĐ có đo đạc tách thửa, thay đổi hình thể, diện tích</t>
  </si>
  <si>
    <t>Áp dụng những trường hợp tình trạng sử dụng đất bị thay đổi.</t>
  </si>
  <si>
    <t>2.2</t>
  </si>
  <si>
    <t>Trung bình</t>
  </si>
  <si>
    <t>Ñôn giaù (ñoàng)</t>
  </si>
  <si>
    <t>Thaønh tieàn (ñoàng)</t>
  </si>
  <si>
    <t xml:space="preserve">Soá löôïng </t>
  </si>
  <si>
    <t>Nguyeân giaù (ñoàng)</t>
  </si>
  <si>
    <t>Maùy vi tính + phaàn meàm</t>
  </si>
  <si>
    <t>I</t>
  </si>
  <si>
    <t xml:space="preserve"> Công việc</t>
  </si>
  <si>
    <t xml:space="preserve">Thöûa/1ca </t>
  </si>
  <si>
    <t>Thaønh tieàn 1 thöûa</t>
  </si>
  <si>
    <t>Định mức công đồng/thửa</t>
  </si>
  <si>
    <t>IV</t>
  </si>
  <si>
    <t>Baøn + gheá vi tính</t>
  </si>
  <si>
    <t>Boä ñeøn Neon 60 cm</t>
  </si>
  <si>
    <t xml:space="preserve">C/P khaáu hao  </t>
  </si>
  <si>
    <t>Möùc khaáu hao</t>
  </si>
  <si>
    <t>CL sổ theo dõi biến động</t>
  </si>
  <si>
    <t>CL sổ Địa chính</t>
  </si>
  <si>
    <t>CL sổ Mục Kê</t>
  </si>
  <si>
    <t>Đơn vị tính</t>
  </si>
  <si>
    <t>Công/GCN</t>
  </si>
  <si>
    <t>ĐM công đồng/thửa</t>
  </si>
  <si>
    <t>Bản đồ số (3 cấp)</t>
  </si>
  <si>
    <t>Vaät lieäu söû duïng</t>
  </si>
  <si>
    <t>Tổng</t>
  </si>
  <si>
    <t>Toång</t>
  </si>
  <si>
    <t>Khaáu hao maùy, duïng cuï</t>
  </si>
  <si>
    <t>Soá tt</t>
  </si>
  <si>
    <t xml:space="preserve">I. Chi phí công lao động </t>
  </si>
  <si>
    <t>Cơ số</t>
  </si>
  <si>
    <t>Định mức công viết máy/1giấy</t>
  </si>
  <si>
    <t>Chỉnh lý giấy CNQSDĐ (trang 4)</t>
  </si>
  <si>
    <t xml:space="preserve">Chænh lyù giaáy CNQSDÑ  </t>
  </si>
  <si>
    <t>Tổng hợp biểu thống kê ĐĐ</t>
  </si>
  <si>
    <t>Khoù khăn 1</t>
  </si>
  <si>
    <t xml:space="preserve">1/500 </t>
  </si>
  <si>
    <t>1/1000</t>
  </si>
  <si>
    <t xml:space="preserve">1/2000 </t>
  </si>
  <si>
    <t xml:space="preserve">1/5000 </t>
  </si>
  <si>
    <t xml:space="preserve">Chöùc danh </t>
  </si>
  <si>
    <t>Heä soá</t>
  </si>
  <si>
    <t>Löông cấp bậc</t>
  </si>
  <si>
    <t>Kyõ sö (KS)</t>
  </si>
  <si>
    <t>Kyõ thuaät vieân (KTV)</t>
  </si>
  <si>
    <t xml:space="preserve">Löông ngaøy </t>
  </si>
  <si>
    <t>A</t>
  </si>
  <si>
    <t>B</t>
  </si>
  <si>
    <t>Noäi nghieäp</t>
  </si>
  <si>
    <t>Caáp xaõ</t>
  </si>
  <si>
    <t>1/500</t>
  </si>
  <si>
    <t>III.</t>
  </si>
  <si>
    <t xml:space="preserve">I. Chi phí coâng lao động </t>
  </si>
  <si>
    <t>Xaõ</t>
  </si>
  <si>
    <t>Huyeän</t>
  </si>
  <si>
    <t>ĐVT</t>
  </si>
  <si>
    <t>Maùy</t>
  </si>
  <si>
    <t>Maùy  VT</t>
  </si>
  <si>
    <t>Thaønh tieàn</t>
  </si>
  <si>
    <t>Kw/ngaøy</t>
  </si>
  <si>
    <t>2.2kw x 1 x 8</t>
  </si>
  <si>
    <t>Tieàn/thöûa</t>
  </si>
  <si>
    <t>Coäng</t>
  </si>
  <si>
    <t>Tænh</t>
  </si>
  <si>
    <t>II</t>
  </si>
  <si>
    <t>Ñònh 
möùc</t>
  </si>
  <si>
    <t>Hộp</t>
  </si>
  <si>
    <t>Ghim bấm nhỏ</t>
  </si>
  <si>
    <t>Tập</t>
  </si>
  <si>
    <t>Loại</t>
  </si>
  <si>
    <t>Thaønh 
tieàn (ñoàng)</t>
  </si>
  <si>
    <t>Huyện</t>
  </si>
  <si>
    <t>Tỉnh</t>
  </si>
  <si>
    <t>Chi phí vật liệu sử dụng cho 1 hồ sơ</t>
  </si>
  <si>
    <t>Thiết bị</t>
  </si>
  <si>
    <t>Định biên: Cấp xã, tỉnh, huyện: KTV bậc 5</t>
  </si>
  <si>
    <t>ñoàng</t>
  </si>
  <si>
    <t>Đơn vị
 tính</t>
  </si>
  <si>
    <t>AÙp dụng cho việc cấp giấy CNQSDĐ coù đo đạc taùch thửa, thay đổi hình thể, diện tích; thay đổi teân  CSD, thay đổi MĐSD; thay đổi số thửa…</t>
  </si>
  <si>
    <t>HAÏNG MUÏC</t>
  </si>
  <si>
    <t xml:space="preserve">1/ Chi phí tröïc tieáp </t>
  </si>
  <si>
    <t>III. Baûn ñoà traéng ñen</t>
  </si>
  <si>
    <t>II. Vaät lieäu söû duïng, duïng cuï</t>
  </si>
  <si>
    <t>Định biên: Cấp tỉnh, huyện: KTV bậc 5</t>
  </si>
  <si>
    <t>Ñôn giaù
ñoàng</t>
  </si>
  <si>
    <t>AÙp dụng cho việc cấp giấy CNQSDĐ coù đo đạc taùch thửa, thay đổi hình thể, diện tích, số thửa</t>
  </si>
  <si>
    <t>caùi</t>
  </si>
  <si>
    <t>Vaøo sổ theo doõi biến động</t>
  </si>
  <si>
    <t>Vaøo sổ theo doõi ñaêng kyù theá chaáp</t>
  </si>
  <si>
    <t>Coâng/hồ sơ</t>
  </si>
  <si>
    <t>Coâng/chủ</t>
  </si>
  <si>
    <t xml:space="preserve"> Coâng việc</t>
  </si>
  <si>
    <t>Buùt  bi, buùt chì caùc  loại</t>
  </si>
  <si>
    <t>Buùt xoùa</t>
  </si>
  <si>
    <t>Buùt ñaùnh dấu</t>
  </si>
  <si>
    <t>Ghim voøng</t>
  </si>
  <si>
    <t>Giấy tập</t>
  </si>
  <si>
    <t>0.4kw  x 8</t>
  </si>
  <si>
    <t>V</t>
  </si>
  <si>
    <t>Chi phí quaûn lyù</t>
  </si>
  <si>
    <t>Chi phí nghieäm thu</t>
  </si>
  <si>
    <t>Caùch tính</t>
  </si>
  <si>
    <t>III</t>
  </si>
  <si>
    <t>Chi phí nhaân coâng</t>
  </si>
  <si>
    <t>Chi phí vật liệu sử dụng</t>
  </si>
  <si>
    <t>Chi phí tieâu hao naêng löôïng</t>
  </si>
  <si>
    <t>Haïng muïc</t>
  </si>
  <si>
    <t>C. huyeän</t>
  </si>
  <si>
    <t>C tænh</t>
  </si>
  <si>
    <t>VI. Toång hôïp chi phí phaân boå cho ba caáp xaõ, huyeän, tænh</t>
  </si>
  <si>
    <t>IV. Toång hôïp chi phí phaân boå cho ba caáp xaõ, huyeän, tænh</t>
  </si>
  <si>
    <t>Coâng/GCN</t>
  </si>
  <si>
    <r>
      <t xml:space="preserve">CL sổ </t>
    </r>
    <r>
      <rPr>
        <sz val="10"/>
        <rFont val="VNI-Times"/>
        <family val="0"/>
      </rPr>
      <t>caáp GCN QSDÑ</t>
    </r>
  </si>
  <si>
    <t>Coâng/thửa</t>
  </si>
  <si>
    <t>C. tænh</t>
  </si>
  <si>
    <t>Định biên: KTV5</t>
  </si>
  <si>
    <t>Công/chủ</t>
  </si>
  <si>
    <t>Công/thửa</t>
  </si>
  <si>
    <t>Lập sổ cấp GCNQSDĐ</t>
  </si>
  <si>
    <t>Công/giấy</t>
  </si>
  <si>
    <t>Ñieän naêng</t>
  </si>
  <si>
    <t>Định mức coâng</t>
  </si>
  <si>
    <t>T. tieàn đồng/thửa</t>
  </si>
  <si>
    <t>Thaønh tieàn (coâng bình quaân)</t>
  </si>
  <si>
    <t>Định mức coâng (ñ/thửa) theo tyû leä</t>
  </si>
  <si>
    <t xml:space="preserve"> Ñònh möùc coâng việc</t>
  </si>
  <si>
    <t>Chia cho ba caáp</t>
  </si>
  <si>
    <t>Toång coäng bình quaân cho moät caáp</t>
  </si>
  <si>
    <t>Ñònh möùc coâng việc</t>
  </si>
  <si>
    <t>Định mức công việc</t>
  </si>
  <si>
    <t>Thaønh tieàn (ñ/thöûa)</t>
  </si>
  <si>
    <t>Định mức công (đ/thửa)</t>
  </si>
  <si>
    <t>Thành tiền (đ/thửa)</t>
  </si>
  <si>
    <t>Định bieân: 1 KTV baäc 5</t>
  </si>
  <si>
    <t>Chú thích:</t>
  </si>
  <si>
    <t>Trung bình KK</t>
  </si>
  <si>
    <t>Định biên: 1 KTV bậc 5, thực hiện tại một cấp</t>
  </si>
  <si>
    <t>Định mức coâng theo Quyết định số 14/2003/QĐ-BTNMT của Bộ Taøi nguyeân vaø Moâi tröôøng</t>
  </si>
  <si>
    <r>
      <t xml:space="preserve">Huyeän </t>
    </r>
    <r>
      <rPr>
        <sz val="10"/>
        <rFont val="VNI-Times"/>
        <family val="0"/>
      </rPr>
      <t>(ñ/thöûa</t>
    </r>
  </si>
  <si>
    <r>
      <t xml:space="preserve">Tænh </t>
    </r>
    <r>
      <rPr>
        <sz val="10"/>
        <rFont val="VNI-Times"/>
        <family val="0"/>
      </rPr>
      <t>(ñ/thöûa</t>
    </r>
  </si>
  <si>
    <t>Coâng cuï, duïng cuï</t>
  </si>
  <si>
    <t>Chi phí photo taøi lieäu thoâng baùo bieán ñoäng</t>
  </si>
  <si>
    <t>Định mức công theo Quyết định số 14/2003/QĐ-BTNMT của Bộ Tài nguyên và Môi trường</t>
  </si>
  <si>
    <t>Chi phí chung</t>
  </si>
  <si>
    <t xml:space="preserve"> Định mức công theo Quyết định số 14/2003/QĐ-BTNMT của Bộ Tài nguyên và Môi trường - thực hiện 3 cấp</t>
  </si>
  <si>
    <t>Thaønh tieàn theo tyû leä</t>
  </si>
  <si>
    <t>1/100,000</t>
  </si>
  <si>
    <t>1/25,000</t>
  </si>
  <si>
    <t>1/10,000</t>
  </si>
  <si>
    <t>1/50,000</t>
  </si>
  <si>
    <t>(Ban hành kèm theo Quyết định số 02/2007/QĐ-UBND 
ngày 18 tháng 01 năm 2007 của UBND tỉnh Bình Phước)</t>
  </si>
  <si>
    <t>Thời gian lao động 26 ngày/01 tháng</t>
  </si>
  <si>
    <t>(Ban haønh keøm theo quyeát ñònh soá 02/2007/QÑ-UBND
ngaøy 18 thaùng 01 naêm 2007</t>
  </si>
  <si>
    <t>ngaøy 18 thaùng 01 naêm 2007 cuûa UBND tænh Bình Phöôùc)</t>
  </si>
  <si>
    <t>Ñôn vò tính: VN đoàng</t>
  </si>
  <si>
    <t>VI. Toång chi phí: = Chi phí nhaân coâng + tieâu hao naêng löôïng + khaáu hao maùy, duïng cuï + chi phí quaûn lyù   =</t>
  </si>
  <si>
    <t>(Ban hành kèm theo Quyết định số 02/2007/QĐ-UBND</t>
  </si>
  <si>
    <t>Coâng cuï duïng cuï, QD 68 tr 44</t>
  </si>
  <si>
    <t>K hao tieâu thuï dieän, QD 68 tr 47</t>
  </si>
  <si>
    <t>ngày 18 tháng 01 năm 2007 của UBND tỉnh Bình Phước)</t>
  </si>
  <si>
    <t xml:space="preserve"> Định mức coâng theo Quyết định số 14/2003/QĐ-BTNMT của Bộ Taøi nguyeân vaø Moâi tröôøng</t>
  </si>
  <si>
    <r>
      <t xml:space="preserve">I. Chi phí coâng lao động </t>
    </r>
    <r>
      <rPr>
        <sz val="12"/>
        <rFont val="VNI-Times"/>
        <family val="0"/>
      </rPr>
      <t>(ñoái vôùi soå caáp GCNQSD ñaát chæ chænh lyù moät caáp huyeän hoaëc tænh)</t>
    </r>
  </si>
  <si>
    <t>Số TT</t>
  </si>
  <si>
    <r>
      <t>II. Vaät lieäu söû duïng + Ñieän naêng + KH maùy, duïng cuï</t>
    </r>
    <r>
      <rPr>
        <b/>
        <sz val="10"/>
        <rFont val="VNI-Times"/>
        <family val="0"/>
      </rPr>
      <t xml:space="preserve">ï </t>
    </r>
    <r>
      <rPr>
        <sz val="10"/>
        <rFont val="VNI-Times"/>
        <family val="0"/>
      </rPr>
      <t>(theo TTLT soá 715/2000/TTLT-TCÑC-BTC)</t>
    </r>
  </si>
  <si>
    <t>22% (I + II)</t>
  </si>
  <si>
    <t>2% (I + II)</t>
  </si>
  <si>
    <t>Chi phí vật lieäu, ñieän naêng,
khaáu hao maùy moùc, duïng cuï</t>
  </si>
  <si>
    <t>Thành tiền (đồng/thửa)</t>
  </si>
  <si>
    <t>II. Chi phí tieâu hao naêng löôïng</t>
  </si>
  <si>
    <t>I. Chi phí công lao động</t>
  </si>
  <si>
    <t>Maùy ñieàu hoøa</t>
  </si>
  <si>
    <r>
      <t>Chi phí quaûn lyù</t>
    </r>
    <r>
      <rPr>
        <sz val="11"/>
        <rFont val="VNI-Times"/>
        <family val="0"/>
      </rPr>
      <t xml:space="preserve"> (theo TTLT soá 715/2000/TTLT-TCÑC-BTC)</t>
    </r>
  </si>
  <si>
    <t>22% (I + II + III)</t>
  </si>
  <si>
    <t>2% (I + II + III)</t>
  </si>
  <si>
    <t>V. Toång chi phí: = Chi phí coâng + tieâu hao naêng löôïng + khaáu hao maùy, duïng cuï + chi phí quaûn lyù =</t>
  </si>
  <si>
    <t>II. Vaät lieäu söû duïng + Ñieän naêng + KH maùy, duïng cuï</t>
  </si>
  <si>
    <t>Soá TT</t>
  </si>
  <si>
    <t>Vaät lieäu söû duïng + Ñieän naêng + KH maùy, duïng cuï</t>
  </si>
  <si>
    <t xml:space="preserve">AÙp dụng cho việc ñaêng kyù theá chaáp, baûo laõnh baèng QSDÑ  </t>
  </si>
  <si>
    <r>
      <t xml:space="preserve">Ñònh möùc chi phí </t>
    </r>
    <r>
      <rPr>
        <sz val="10"/>
        <rFont val="VNI-Times"/>
        <family val="0"/>
      </rPr>
      <t>(ñoàng/thöûa)</t>
    </r>
  </si>
  <si>
    <t xml:space="preserve">IV. Toång hôïp chi phí  </t>
  </si>
  <si>
    <t>Thaønh tieàn (huyeän - tænh)</t>
  </si>
  <si>
    <t xml:space="preserve">            Ñôn vò tính: VN đoàng</t>
  </si>
  <si>
    <t>I. BÑ haønh chính mau in giaáy Ao: (1198 x 841 mm)</t>
  </si>
  <si>
    <t xml:space="preserve">1. Chi phí tröïc tieáp </t>
  </si>
  <si>
    <t>Biểu 07. BỔ SUNG HỒ SƠ  ĐỊA CHÍNH (PHẦN SỔ - HS ĐANG LƯU Ở 3 CẤP)</t>
  </si>
  <si>
    <t xml:space="preserve">    * Mực in: 1 bộ mực (gồm 4 hộp) theo giá thị trường 10.000.000đ in được 100 bản khổ giấy Ao</t>
  </si>
  <si>
    <t xml:space="preserve">    * Giấy in: 1 cuộn giấy Ao định lượng 1 có chiều dài là 100m giá thị trường là 300.000đ</t>
  </si>
  <si>
    <t xml:space="preserve">    * Giá trên được tính theo 1 đơn vị khổ giấy Ao (1198 x 841m) cho từng loại tỷ lệ bản đồ.</t>
  </si>
  <si>
    <t>BHXH - YT - KPCÑ 19%</t>
  </si>
  <si>
    <t>Coâng/nhoùm (nhoùm 2 KTV bậc 5) tính cho 3 cấp: xaõ, huyện, tỉnh</t>
  </si>
  <si>
    <t xml:space="preserve">      Ñôn vò tính: VN đoàng</t>
  </si>
  <si>
    <t>I. Chi phí coâng lao động</t>
  </si>
  <si>
    <t>II. Chi phí vật liệu sử dụng</t>
  </si>
  <si>
    <t>III. Chi phí tieâu hao naêng löôïng (cho 1 thöûa)</t>
  </si>
  <si>
    <t>22% (I + II + III + IV)</t>
  </si>
  <si>
    <t>2% (I + II + III + IV)</t>
  </si>
  <si>
    <t>Biểu 01: ĐƠN GIÁ TIỀN LƯƠNG ĐƠN VỊ SỰ NGHIỆP</t>
  </si>
  <si>
    <t>Biểu 02: CHỈNH LYÙ BẢN ĐỒ ĐỊA CHÍNH (BĐ GIẤY - LƯU Ở 3 CẤP)</t>
  </si>
  <si>
    <t>Tieàn löông bình quaân KTV baäc 5: 61505 ñoàng</t>
  </si>
  <si>
    <t>Khoù khăn 2</t>
  </si>
  <si>
    <t>Khoù khăn 3</t>
  </si>
  <si>
    <t>Ghim bấm to</t>
  </si>
  <si>
    <t>Maùy  ñieàu hoøa</t>
  </si>
  <si>
    <t>Ñ bieân</t>
  </si>
  <si>
    <t>60 thaùng = 26 ca x 60</t>
  </si>
  <si>
    <t>10 naêm = 260ca x 10</t>
  </si>
  <si>
    <t>36 thaùng = 26 ca x 36</t>
  </si>
  <si>
    <r>
      <t xml:space="preserve">Xaõ </t>
    </r>
    <r>
      <rPr>
        <sz val="10"/>
        <rFont val="VNI-Times"/>
        <family val="0"/>
      </rPr>
      <t>(ñoàng/thöûa)</t>
    </r>
  </si>
  <si>
    <t>Biểu 03: CHỈNH LÝ HỒ SƠ  ĐỊA CHÍNH ( PHẦN SỔ - HS ĐANG LƯU Ở 3 CẤP)</t>
  </si>
  <si>
    <t>Chi phí khaáu hao</t>
  </si>
  <si>
    <t xml:space="preserve">Toång </t>
  </si>
  <si>
    <t>Biểu 04: CHỈNH LÝ BẢN ĐỒ SỐ (BẢN ĐỒ FILE DỮ LIỆU)</t>
  </si>
  <si>
    <r>
      <t xml:space="preserve">III. Chi phí khaáu hao </t>
    </r>
    <r>
      <rPr>
        <sz val="12"/>
        <rFont val="VNI-Times"/>
        <family val="0"/>
      </rPr>
      <t>(theo TTLT soá 715/2000/TTLT-TCÑC-BTC)</t>
    </r>
  </si>
  <si>
    <t>Biểu 05: CHỈNH LÝ GIẤY CHỨNG NHẬN QSDĐ (Trang 4)</t>
  </si>
  <si>
    <t xml:space="preserve">                                   Biểu 06: CHỈNH LÝ HỒ SƠ  ĐỊA CHÍNH </t>
  </si>
  <si>
    <r>
      <t xml:space="preserve">III. Chi phí quaûn lyù </t>
    </r>
    <r>
      <rPr>
        <sz val="12"/>
        <rFont val="VNI-Times"/>
        <family val="0"/>
      </rPr>
      <t>(theo TTLT soá 715/2000/TTLT-TCÑC-BTC)</t>
    </r>
  </si>
  <si>
    <t>Xaõ (ñoàng/thöûa)</t>
  </si>
  <si>
    <t>Huyeän (ñoàng/thöûa)</t>
  </si>
  <si>
    <t>Tænh (ñoàng/thöûa)</t>
  </si>
  <si>
    <r>
      <t xml:space="preserve">III. Chi phí quaûn lyù </t>
    </r>
    <r>
      <rPr>
        <sz val="10"/>
        <rFont val="VNI-Times"/>
        <family val="0"/>
      </rPr>
      <t>(aùp dụng theo TTLT soá 715/2000/TTLT-TCÑC-BTC)</t>
    </r>
  </si>
  <si>
    <t>2%(I + II)</t>
  </si>
  <si>
    <t>Biểu 08: ÑÔN GIAÙ IN BAÛN ÑOÀ NỀN</t>
  </si>
  <si>
    <t xml:space="preserve"> Coâng bieân taäp</t>
  </si>
  <si>
    <t xml:space="preserve">   + Giaáy*</t>
  </si>
  <si>
    <t>2. Khaáu hao maùy 5% (1)</t>
  </si>
  <si>
    <t>3. Chi phí chung 25% (1+2)</t>
  </si>
  <si>
    <t>II. Baûn ñoà chuyeân ñeà</t>
  </si>
  <si>
    <t>3. Chi phí chung 25% (1 + 2)</t>
  </si>
  <si>
    <t>A. In giaáy Ao (1198 x 841 mm)</t>
  </si>
  <si>
    <t xml:space="preserve">    + Giaáy</t>
  </si>
  <si>
    <t>2 Khaáu hao maùy 5% (1)</t>
  </si>
  <si>
    <t>B. In giaáy A1,A2 (841 x 594 mm, 594 x 420 mm)</t>
  </si>
  <si>
    <t>C. In giaáy A3 (420 x 297mm)</t>
  </si>
  <si>
    <t xml:space="preserve"> Chi phí vaät tö:</t>
  </si>
  <si>
    <t xml:space="preserve">    + Möïc in</t>
  </si>
  <si>
    <t xml:space="preserve">   + Möïc in*</t>
  </si>
  <si>
    <t>A.In giaáy Ao (1198 x 841 mm)</t>
  </si>
  <si>
    <t>B. In giaáy A1, A2 (841 x 594 mm, 594 x 420 mm)</t>
  </si>
  <si>
    <t xml:space="preserve">    Möïc in</t>
  </si>
  <si>
    <t xml:space="preserve">    Giaáy</t>
  </si>
  <si>
    <t xml:space="preserve">               300.000đ/100m = 3.000đ</t>
  </si>
  <si>
    <t xml:space="preserve">               10.000.000đ/100 bản = 100.000đ</t>
  </si>
  <si>
    <t>Lập Sổ Mục kê</t>
  </si>
  <si>
    <t>Lập Sổ Địa chính</t>
  </si>
  <si>
    <t>Áp dụng cho cấp giấy lần đầu không phải chỉnh lý sổ (Đúng sổ Mục kê: Thửa, tờ, diện tích, MĐSD)</t>
  </si>
  <si>
    <t xml:space="preserve"> Photo GCN cuõ, môùi</t>
  </si>
  <si>
    <t xml:space="preserve"> Coâng photo</t>
  </si>
  <si>
    <t xml:space="preserve"> Photo hôïp ñoàng CN, QÑ, baûn ñoà ÑC</t>
  </si>
  <si>
    <r>
      <t xml:space="preserve">Chi phí quaûn lyù </t>
    </r>
    <r>
      <rPr>
        <sz val="10"/>
        <rFont val="VNI-Times"/>
        <family val="0"/>
      </rPr>
      <t>(theo TTLT soá 715/2000/TTLT-TCÑC-BTC)</t>
    </r>
  </si>
  <si>
    <r>
      <t xml:space="preserve">IV. Chi phí khaáu hao </t>
    </r>
    <r>
      <rPr>
        <sz val="12"/>
        <rFont val="VNI-Times"/>
        <family val="0"/>
      </rPr>
      <t>(theo TTLT soá 715/2000/TTLT-TCÑC-BTC)</t>
    </r>
  </si>
  <si>
    <r>
      <t xml:space="preserve">V. Chi phí quaûn lyù </t>
    </r>
    <r>
      <rPr>
        <sz val="11"/>
        <rFont val="VNI-Times"/>
        <family val="0"/>
      </rPr>
      <t>(theo TTLT soá 715/2000/TTLT-TCÑC-BTC)</t>
    </r>
  </si>
  <si>
    <t>Löông phuï 11%</t>
  </si>
  <si>
    <t>T/nhieäm 0.2/5</t>
  </si>
  <si>
    <t xml:space="preserve">  Chí phí vaät tö (möïc in)</t>
  </si>
  <si>
    <r>
      <t xml:space="preserve">Chi phí quaûn lyù </t>
    </r>
    <r>
      <rPr>
        <sz val="11"/>
        <rFont val="VNI-Times"/>
        <family val="0"/>
      </rPr>
      <t>(theo TTLT soá 715/2000/TTLT-TCÑC-BTC)</t>
    </r>
  </si>
  <si>
    <t xml:space="preserve">  Khaáu hao maùy + ñieän naêng (maùy vi tính, maùy in) + maùy laïnh</t>
  </si>
  <si>
    <t xml:space="preserve">IV. Toång hôïp chi phí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</si>
</sst>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(#\)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0_);\(0\)"/>
    <numFmt numFmtId="184" formatCode="#,##0;[Red]#,##0"/>
    <numFmt numFmtId="185" formatCode="_(* #,##0.0000_);_(* \(#,##0.0000\);_(* &quot;-&quot;????_);_(@_)"/>
    <numFmt numFmtId="186" formatCode="#,##0.0000"/>
    <numFmt numFmtId="187" formatCode="#,##0.0000_);\(#,##0.0000\)"/>
    <numFmt numFmtId="188" formatCode="_(* #,##0.0_);_(* \(#,##0.0\);_(* &quot;-&quot;?_);_(@_)"/>
    <numFmt numFmtId="189" formatCode="_(* #,##0.000_);_(* \(#,##0.000\);_(* &quot;-&quot;????_);_(@_)"/>
    <numFmt numFmtId="190" formatCode="_(* #,##0.00_);_(* \(#,##0.00\);_(* &quot;-&quot;????_);_(@_)"/>
    <numFmt numFmtId="191" formatCode="_(* #,##0.0_);_(* \(#,##0.0\);_(* &quot;-&quot;????_);_(@_)"/>
    <numFmt numFmtId="192" formatCode="_(* #,##0_);_(* \(#,##0\);_(* &quot;-&quot;??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_);_(* \(#,##0.0\);_(* &quot;-&quot;??_);_(@_)"/>
    <numFmt numFmtId="200" formatCode="_(* #,##0_);_(* \(#,##0\);_(* &quot;-&quot;??_);_(@_)"/>
    <numFmt numFmtId="201" formatCode="#,##0.0_);\(#,##0.0\)"/>
    <numFmt numFmtId="202" formatCode="0.00000"/>
    <numFmt numFmtId="203" formatCode="#,##0.000_);\(#,##0.000\)"/>
  </numFmts>
  <fonts count="57">
    <font>
      <sz val="14"/>
      <name val="Times New Roman"/>
      <family val="0"/>
    </font>
    <font>
      <b/>
      <sz val="13"/>
      <name val="Times New Roman"/>
      <family val="1"/>
    </font>
    <font>
      <sz val="13"/>
      <name val="Times New Roman"/>
      <family val="0"/>
    </font>
    <font>
      <b/>
      <sz val="10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b/>
      <sz val="10"/>
      <name val="VNI-Times"/>
      <family val="0"/>
    </font>
    <font>
      <b/>
      <sz val="9"/>
      <name val="VNI-Times"/>
      <family val="0"/>
    </font>
    <font>
      <sz val="14"/>
      <name val="VNI-Times"/>
      <family val="0"/>
    </font>
    <font>
      <b/>
      <sz val="13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b/>
      <sz val="11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b/>
      <sz val="10"/>
      <color indexed="8"/>
      <name val="Times New Roman"/>
      <family val="1"/>
    </font>
    <font>
      <sz val="8"/>
      <name val="Times New Roman"/>
      <family val="0"/>
    </font>
    <font>
      <sz val="13"/>
      <name val="VNI-Times"/>
      <family val="0"/>
    </font>
    <font>
      <b/>
      <i/>
      <sz val="13"/>
      <name val="VNI-Times"/>
      <family val="0"/>
    </font>
    <font>
      <sz val="10"/>
      <color indexed="10"/>
      <name val="VNI-Times"/>
      <family val="0"/>
    </font>
    <font>
      <sz val="10"/>
      <color indexed="10"/>
      <name val="Times New Roman"/>
      <family val="0"/>
    </font>
    <font>
      <b/>
      <sz val="10"/>
      <color indexed="8"/>
      <name val="VNI-Times"/>
      <family val="0"/>
    </font>
    <font>
      <b/>
      <sz val="10"/>
      <color indexed="10"/>
      <name val="VNI-Times"/>
      <family val="0"/>
    </font>
    <font>
      <sz val="8"/>
      <name val="VNI-Times"/>
      <family val="0"/>
    </font>
    <font>
      <b/>
      <sz val="8"/>
      <name val="Times New Roman"/>
      <family val="1"/>
    </font>
    <font>
      <sz val="14"/>
      <color indexed="10"/>
      <name val="VNI-Times"/>
      <family val="0"/>
    </font>
    <font>
      <b/>
      <sz val="13"/>
      <color indexed="10"/>
      <name val="VNI-Times"/>
      <family val="0"/>
    </font>
    <font>
      <i/>
      <sz val="10"/>
      <name val="VNI-Times"/>
      <family val="0"/>
    </font>
    <font>
      <sz val="11"/>
      <name val="Times New Roman"/>
      <family val="0"/>
    </font>
    <font>
      <sz val="12"/>
      <color indexed="10"/>
      <name val="VNI-Times"/>
      <family val="0"/>
    </font>
    <font>
      <b/>
      <i/>
      <sz val="11"/>
      <name val="VNI-Times"/>
      <family val="0"/>
    </font>
    <font>
      <i/>
      <sz val="13"/>
      <name val="Times New Roman"/>
      <family val="1"/>
    </font>
    <font>
      <sz val="12"/>
      <color indexed="8"/>
      <name val="VNI-Times"/>
      <family val="0"/>
    </font>
    <font>
      <sz val="10"/>
      <color indexed="8"/>
      <name val="Times New Roman"/>
      <family val="1"/>
    </font>
    <font>
      <b/>
      <sz val="12"/>
      <color indexed="8"/>
      <name val="VNI-Times"/>
      <family val="0"/>
    </font>
    <font>
      <b/>
      <sz val="14"/>
      <name val="Times New Roman"/>
      <family val="1"/>
    </font>
    <font>
      <i/>
      <sz val="14"/>
      <name val="VNI-Times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VNI-Times"/>
      <family val="0"/>
    </font>
  </fonts>
  <fills count="5">
    <fill>
      <patternFill/>
    </fill>
    <fill>
      <patternFill patternType="gray125"/>
    </fill>
    <fill>
      <patternFill patternType="gray125">
        <fgColor indexed="3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27" fillId="0" borderId="3">
      <alignment vertical="center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ont="0" applyFill="0" applyAlignment="0" applyProtection="0"/>
    <xf numFmtId="0" fontId="28" fillId="2" borderId="3">
      <alignment horizontal="left" vertical="center"/>
      <protection/>
    </xf>
    <xf numFmtId="5" fontId="29" fillId="0" borderId="5">
      <alignment horizontal="left" vertical="top"/>
      <protection/>
    </xf>
    <xf numFmtId="5" fontId="30" fillId="0" borderId="6">
      <alignment horizontal="left" vertical="top"/>
      <protection/>
    </xf>
    <xf numFmtId="0" fontId="31" fillId="0" borderId="6">
      <alignment horizontal="left" vertical="center"/>
      <protection/>
    </xf>
  </cellStyleXfs>
  <cellXfs count="5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7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37" fontId="8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18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22" fillId="0" borderId="0" xfId="22">
      <alignment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1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172" fontId="7" fillId="0" borderId="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3" xfId="23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37" fontId="7" fillId="0" borderId="2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5" xfId="0" applyNumberFormat="1" applyFont="1" applyBorder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6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1" fontId="37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72" fontId="33" fillId="0" borderId="0" xfId="0" applyNumberFormat="1" applyFont="1" applyBorder="1" applyAlignment="1">
      <alignment/>
    </xf>
    <xf numFmtId="200" fontId="7" fillId="0" borderId="3" xfId="23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37" fontId="8" fillId="0" borderId="21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7" fontId="6" fillId="0" borderId="14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37" fontId="3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93" fontId="7" fillId="0" borderId="25" xfId="0" applyNumberFormat="1" applyFont="1" applyBorder="1" applyAlignment="1">
      <alignment/>
    </xf>
    <xf numFmtId="193" fontId="7" fillId="0" borderId="6" xfId="0" applyNumberFormat="1" applyFont="1" applyBorder="1" applyAlignment="1">
      <alignment horizontal="right" shrinkToFit="1"/>
    </xf>
    <xf numFmtId="193" fontId="7" fillId="0" borderId="3" xfId="0" applyNumberFormat="1" applyFont="1" applyBorder="1" applyAlignment="1">
      <alignment/>
    </xf>
    <xf numFmtId="193" fontId="7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/>
    </xf>
    <xf numFmtId="200" fontId="8" fillId="0" borderId="3" xfId="23" applyNumberFormat="1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1" fillId="0" borderId="3" xfId="0" applyFont="1" applyBorder="1" applyAlignment="1">
      <alignment/>
    </xf>
    <xf numFmtId="43" fontId="7" fillId="0" borderId="23" xfId="23" applyFont="1" applyBorder="1" applyAlignment="1">
      <alignment/>
    </xf>
    <xf numFmtId="200" fontId="7" fillId="0" borderId="23" xfId="23" applyNumberFormat="1" applyFont="1" applyBorder="1" applyAlignment="1">
      <alignment/>
    </xf>
    <xf numFmtId="200" fontId="7" fillId="0" borderId="23" xfId="23" applyNumberFormat="1" applyFont="1" applyBorder="1" applyAlignment="1">
      <alignment/>
    </xf>
    <xf numFmtId="43" fontId="7" fillId="0" borderId="27" xfId="23" applyFont="1" applyBorder="1" applyAlignment="1">
      <alignment/>
    </xf>
    <xf numFmtId="3" fontId="8" fillId="0" borderId="29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37" fontId="7" fillId="0" borderId="23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37" fontId="7" fillId="0" borderId="14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37" fontId="7" fillId="0" borderId="2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/>
    </xf>
    <xf numFmtId="172" fontId="8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43" fontId="7" fillId="0" borderId="5" xfId="23" applyFont="1" applyBorder="1" applyAlignment="1">
      <alignment/>
    </xf>
    <xf numFmtId="200" fontId="7" fillId="0" borderId="5" xfId="23" applyNumberFormat="1" applyFont="1" applyBorder="1" applyAlignment="1">
      <alignment/>
    </xf>
    <xf numFmtId="200" fontId="7" fillId="0" borderId="5" xfId="23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37" fontId="36" fillId="0" borderId="3" xfId="0" applyNumberFormat="1" applyFont="1" applyBorder="1" applyAlignment="1">
      <alignment horizontal="center"/>
    </xf>
    <xf numFmtId="200" fontId="7" fillId="0" borderId="14" xfId="23" applyNumberFormat="1" applyFont="1" applyBorder="1" applyAlignment="1">
      <alignment/>
    </xf>
    <xf numFmtId="0" fontId="8" fillId="0" borderId="22" xfId="0" applyFont="1" applyBorder="1" applyAlignment="1">
      <alignment/>
    </xf>
    <xf numFmtId="0" fontId="33" fillId="0" borderId="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3" fontId="7" fillId="0" borderId="14" xfId="23" applyFont="1" applyBorder="1" applyAlignment="1">
      <alignment/>
    </xf>
    <xf numFmtId="200" fontId="7" fillId="0" borderId="14" xfId="23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3" fontId="7" fillId="0" borderId="37" xfId="0" applyNumberFormat="1" applyFont="1" applyBorder="1" applyAlignment="1">
      <alignment/>
    </xf>
    <xf numFmtId="37" fontId="6" fillId="0" borderId="23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37" fontId="7" fillId="0" borderId="37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37" fontId="7" fillId="0" borderId="38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37" fontId="7" fillId="0" borderId="29" xfId="0" applyNumberFormat="1" applyFont="1" applyBorder="1" applyAlignment="1">
      <alignment horizontal="center"/>
    </xf>
    <xf numFmtId="37" fontId="6" fillId="0" borderId="27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/>
    </xf>
    <xf numFmtId="172" fontId="15" fillId="0" borderId="0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8" fillId="0" borderId="2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7" fontId="7" fillId="0" borderId="24" xfId="0" applyNumberFormat="1" applyFont="1" applyBorder="1" applyAlignment="1">
      <alignment/>
    </xf>
    <xf numFmtId="0" fontId="15" fillId="0" borderId="39" xfId="0" applyFont="1" applyBorder="1" applyAlignment="1">
      <alignment horizontal="center"/>
    </xf>
    <xf numFmtId="37" fontId="7" fillId="0" borderId="26" xfId="0" applyNumberFormat="1" applyFont="1" applyBorder="1" applyAlignment="1">
      <alignment/>
    </xf>
    <xf numFmtId="37" fontId="14" fillId="0" borderId="3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37" fontId="7" fillId="0" borderId="4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9" fillId="0" borderId="41" xfId="0" applyFont="1" applyBorder="1" applyAlignment="1">
      <alignment/>
    </xf>
    <xf numFmtId="172" fontId="7" fillId="3" borderId="0" xfId="0" applyNumberFormat="1" applyFont="1" applyFill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200" fontId="16" fillId="0" borderId="3" xfId="23" applyNumberFormat="1" applyFont="1" applyBorder="1" applyAlignment="1">
      <alignment/>
    </xf>
    <xf numFmtId="0" fontId="45" fillId="0" borderId="0" xfId="0" applyFont="1" applyAlignment="1">
      <alignment/>
    </xf>
    <xf numFmtId="0" fontId="16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200" fontId="14" fillId="0" borderId="3" xfId="0" applyNumberFormat="1" applyFont="1" applyBorder="1" applyAlignment="1">
      <alignment/>
    </xf>
    <xf numFmtId="1" fontId="14" fillId="0" borderId="3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 vertical="center"/>
    </xf>
    <xf numFmtId="200" fontId="11" fillId="0" borderId="3" xfId="23" applyNumberFormat="1" applyFont="1" applyBorder="1" applyAlignment="1">
      <alignment horizontal="center"/>
    </xf>
    <xf numFmtId="200" fontId="14" fillId="0" borderId="3" xfId="23" applyNumberFormat="1" applyFont="1" applyBorder="1" applyAlignment="1">
      <alignment/>
    </xf>
    <xf numFmtId="0" fontId="46" fillId="0" borderId="0" xfId="0" applyFont="1" applyAlignment="1">
      <alignment/>
    </xf>
    <xf numFmtId="37" fontId="40" fillId="0" borderId="23" xfId="0" applyNumberFormat="1" applyFont="1" applyBorder="1" applyAlignment="1">
      <alignment horizontal="center"/>
    </xf>
    <xf numFmtId="37" fontId="1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7" fontId="36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16" fillId="0" borderId="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37" fontId="7" fillId="0" borderId="43" xfId="0" applyNumberFormat="1" applyFont="1" applyBorder="1" applyAlignment="1">
      <alignment horizontal="center"/>
    </xf>
    <xf numFmtId="37" fontId="8" fillId="0" borderId="43" xfId="0" applyNumberFormat="1" applyFont="1" applyBorder="1" applyAlignment="1">
      <alignment horizontal="center"/>
    </xf>
    <xf numFmtId="37" fontId="8" fillId="0" borderId="5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right" vertical="center" wrapText="1"/>
    </xf>
    <xf numFmtId="37" fontId="14" fillId="0" borderId="21" xfId="0" applyNumberFormat="1" applyFont="1" applyBorder="1" applyAlignment="1">
      <alignment horizontal="right" vertical="center" wrapText="1"/>
    </xf>
    <xf numFmtId="37" fontId="7" fillId="0" borderId="3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3" fontId="14" fillId="0" borderId="25" xfId="0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37" fontId="14" fillId="0" borderId="42" xfId="0" applyNumberFormat="1" applyFont="1" applyBorder="1" applyAlignment="1">
      <alignment horizontal="righ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37" fontId="14" fillId="0" borderId="38" xfId="0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horizontal="center" vertical="center" wrapText="1"/>
    </xf>
    <xf numFmtId="43" fontId="7" fillId="0" borderId="26" xfId="23" applyFont="1" applyBorder="1" applyAlignment="1">
      <alignment/>
    </xf>
    <xf numFmtId="43" fontId="7" fillId="0" borderId="40" xfId="23" applyFont="1" applyBorder="1" applyAlignment="1">
      <alignment/>
    </xf>
    <xf numFmtId="43" fontId="8" fillId="0" borderId="3" xfId="23" applyFont="1" applyFill="1" applyBorder="1" applyAlignment="1">
      <alignment/>
    </xf>
    <xf numFmtId="200" fontId="7" fillId="0" borderId="3" xfId="23" applyNumberFormat="1" applyFont="1" applyFill="1" applyBorder="1" applyAlignment="1">
      <alignment/>
    </xf>
    <xf numFmtId="200" fontId="7" fillId="0" borderId="26" xfId="23" applyNumberFormat="1" applyFont="1" applyBorder="1" applyAlignment="1">
      <alignment/>
    </xf>
    <xf numFmtId="200" fontId="7" fillId="0" borderId="40" xfId="23" applyNumberFormat="1" applyFont="1" applyBorder="1" applyAlignment="1">
      <alignment/>
    </xf>
    <xf numFmtId="172" fontId="7" fillId="0" borderId="3" xfId="0" applyNumberFormat="1" applyFont="1" applyBorder="1" applyAlignment="1">
      <alignment horizontal="center"/>
    </xf>
    <xf numFmtId="43" fontId="14" fillId="0" borderId="21" xfId="23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172" fontId="6" fillId="0" borderId="3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2" fontId="6" fillId="0" borderId="5" xfId="0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3" fontId="6" fillId="0" borderId="21" xfId="23" applyFont="1" applyBorder="1" applyAlignment="1">
      <alignment/>
    </xf>
    <xf numFmtId="0" fontId="8" fillId="0" borderId="43" xfId="0" applyFont="1" applyBorder="1" applyAlignment="1">
      <alignment horizontal="center"/>
    </xf>
    <xf numFmtId="37" fontId="8" fillId="0" borderId="0" xfId="0" applyNumberFormat="1" applyFont="1" applyBorder="1" applyAlignment="1">
      <alignment horizontal="right"/>
    </xf>
    <xf numFmtId="43" fontId="7" fillId="0" borderId="3" xfId="23" applyFont="1" applyBorder="1" applyAlignment="1">
      <alignment horizontal="center"/>
    </xf>
    <xf numFmtId="43" fontId="7" fillId="0" borderId="3" xfId="23" applyFont="1" applyBorder="1" applyAlignment="1">
      <alignment horizontal="center" vertical="center"/>
    </xf>
    <xf numFmtId="43" fontId="8" fillId="0" borderId="3" xfId="23" applyFont="1" applyBorder="1" applyAlignment="1">
      <alignment horizontal="center"/>
    </xf>
    <xf numFmtId="37" fontId="6" fillId="0" borderId="5" xfId="0" applyNumberFormat="1" applyFont="1" applyBorder="1" applyAlignment="1">
      <alignment/>
    </xf>
    <xf numFmtId="37" fontId="7" fillId="0" borderId="38" xfId="0" applyNumberFormat="1" applyFont="1" applyBorder="1" applyAlignment="1">
      <alignment horizontal="center" shrinkToFit="1"/>
    </xf>
    <xf numFmtId="37" fontId="6" fillId="0" borderId="26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6" fillId="0" borderId="0" xfId="0" applyFont="1" applyBorder="1" applyAlignment="1">
      <alignment/>
    </xf>
    <xf numFmtId="43" fontId="7" fillId="0" borderId="0" xfId="23" applyFont="1" applyBorder="1" applyAlignment="1">
      <alignment/>
    </xf>
    <xf numFmtId="193" fontId="7" fillId="0" borderId="0" xfId="0" applyNumberFormat="1" applyFont="1" applyBorder="1" applyAlignment="1">
      <alignment/>
    </xf>
    <xf numFmtId="37" fontId="36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7" fontId="8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/>
    </xf>
    <xf numFmtId="172" fontId="6" fillId="0" borderId="3" xfId="0" applyNumberFormat="1" applyFont="1" applyBorder="1" applyAlignment="1">
      <alignment/>
    </xf>
    <xf numFmtId="37" fontId="8" fillId="0" borderId="22" xfId="0" applyNumberFormat="1" applyFont="1" applyBorder="1" applyAlignment="1">
      <alignment horizontal="center"/>
    </xf>
    <xf numFmtId="0" fontId="14" fillId="0" borderId="44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7" fontId="12" fillId="0" borderId="22" xfId="0" applyNumberFormat="1" applyFont="1" applyBorder="1" applyAlignment="1">
      <alignment horizontal="center" shrinkToFit="1"/>
    </xf>
    <xf numFmtId="37" fontId="6" fillId="0" borderId="24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37" fontId="7" fillId="0" borderId="46" xfId="0" applyNumberFormat="1" applyFont="1" applyBorder="1" applyAlignment="1">
      <alignment horizontal="center" shrinkToFit="1"/>
    </xf>
    <xf numFmtId="3" fontId="8" fillId="0" borderId="42" xfId="0" applyNumberFormat="1" applyFont="1" applyBorder="1" applyAlignment="1">
      <alignment/>
    </xf>
    <xf numFmtId="0" fontId="8" fillId="0" borderId="41" xfId="0" applyFont="1" applyBorder="1" applyAlignment="1">
      <alignment/>
    </xf>
    <xf numFmtId="37" fontId="6" fillId="0" borderId="47" xfId="0" applyNumberFormat="1" applyFont="1" applyBorder="1" applyAlignment="1">
      <alignment/>
    </xf>
    <xf numFmtId="37" fontId="6" fillId="0" borderId="33" xfId="0" applyNumberFormat="1" applyFont="1" applyBorder="1" applyAlignment="1">
      <alignment/>
    </xf>
    <xf numFmtId="37" fontId="8" fillId="0" borderId="2" xfId="0" applyNumberFormat="1" applyFont="1" applyBorder="1" applyAlignment="1">
      <alignment horizontal="center"/>
    </xf>
    <xf numFmtId="37" fontId="7" fillId="0" borderId="25" xfId="0" applyNumberFormat="1" applyFont="1" applyBorder="1" applyAlignment="1">
      <alignment horizontal="right"/>
    </xf>
    <xf numFmtId="37" fontId="7" fillId="0" borderId="38" xfId="0" applyNumberFormat="1" applyFont="1" applyBorder="1" applyAlignment="1">
      <alignment horizontal="right"/>
    </xf>
    <xf numFmtId="37" fontId="7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37" fontId="7" fillId="0" borderId="24" xfId="0" applyNumberFormat="1" applyFont="1" applyBorder="1" applyAlignment="1">
      <alignment horizontal="left" shrinkToFit="1"/>
    </xf>
    <xf numFmtId="37" fontId="7" fillId="0" borderId="31" xfId="0" applyNumberFormat="1" applyFont="1" applyBorder="1" applyAlignment="1">
      <alignment horizontal="left" shrinkToFit="1"/>
    </xf>
    <xf numFmtId="3" fontId="8" fillId="0" borderId="45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43" fontId="3" fillId="0" borderId="21" xfId="23" applyFont="1" applyFill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37" fontId="8" fillId="0" borderId="3" xfId="0" applyNumberFormat="1" applyFont="1" applyBorder="1" applyAlignment="1">
      <alignment horizontal="center"/>
    </xf>
    <xf numFmtId="37" fontId="7" fillId="0" borderId="6" xfId="0" applyNumberFormat="1" applyFont="1" applyBorder="1" applyAlignment="1">
      <alignment/>
    </xf>
    <xf numFmtId="37" fontId="16" fillId="0" borderId="5" xfId="0" applyNumberFormat="1" applyFont="1" applyBorder="1" applyAlignment="1">
      <alignment/>
    </xf>
    <xf numFmtId="37" fontId="16" fillId="0" borderId="28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16" fillId="0" borderId="3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" xfId="0" applyFont="1" applyBorder="1" applyAlignment="1">
      <alignment/>
    </xf>
    <xf numFmtId="172" fontId="7" fillId="0" borderId="25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37" fontId="7" fillId="0" borderId="22" xfId="0" applyNumberFormat="1" applyFont="1" applyBorder="1" applyAlignment="1">
      <alignment/>
    </xf>
    <xf numFmtId="49" fontId="38" fillId="4" borderId="3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9" fontId="32" fillId="4" borderId="3" xfId="0" applyNumberFormat="1" applyFont="1" applyFill="1" applyBorder="1" applyAlignment="1">
      <alignment horizontal="center"/>
    </xf>
    <xf numFmtId="200" fontId="50" fillId="0" borderId="3" xfId="0" applyNumberFormat="1" applyFont="1" applyBorder="1" applyAlignment="1">
      <alignment/>
    </xf>
    <xf numFmtId="37" fontId="32" fillId="0" borderId="33" xfId="0" applyNumberFormat="1" applyFont="1" applyBorder="1" applyAlignment="1">
      <alignment/>
    </xf>
    <xf numFmtId="37" fontId="38" fillId="0" borderId="3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37" fontId="51" fillId="0" borderId="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10" fillId="4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37" fontId="14" fillId="0" borderId="3" xfId="0" applyNumberFormat="1" applyFont="1" applyBorder="1" applyAlignment="1">
      <alignment horizontal="center" shrinkToFit="1"/>
    </xf>
    <xf numFmtId="0" fontId="14" fillId="0" borderId="3" xfId="0" applyFont="1" applyBorder="1" applyAlignment="1">
      <alignment horizontal="center"/>
    </xf>
    <xf numFmtId="37" fontId="14" fillId="0" borderId="2" xfId="0" applyNumberFormat="1" applyFont="1" applyBorder="1" applyAlignment="1">
      <alignment horizontal="center" shrinkToFit="1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7" fontId="8" fillId="0" borderId="21" xfId="0" applyNumberFormat="1" applyFont="1" applyBorder="1" applyAlignment="1">
      <alignment horizontal="center"/>
    </xf>
    <xf numFmtId="37" fontId="8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13" fillId="0" borderId="0" xfId="0" applyFont="1" applyAlignment="1">
      <alignment/>
    </xf>
    <xf numFmtId="0" fontId="56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49" fontId="45" fillId="0" borderId="3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37" fontId="7" fillId="0" borderId="21" xfId="0" applyNumberFormat="1" applyFont="1" applyBorder="1" applyAlignment="1">
      <alignment horizontal="center"/>
    </xf>
    <xf numFmtId="37" fontId="7" fillId="0" borderId="22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37" fontId="12" fillId="0" borderId="21" xfId="0" applyNumberFormat="1" applyFont="1" applyBorder="1" applyAlignment="1">
      <alignment horizontal="center" shrinkToFit="1"/>
    </xf>
    <xf numFmtId="37" fontId="12" fillId="0" borderId="22" xfId="0" applyNumberFormat="1" applyFont="1" applyBorder="1" applyAlignment="1">
      <alignment horizontal="center" shrinkToFit="1"/>
    </xf>
    <xf numFmtId="37" fontId="7" fillId="0" borderId="29" xfId="0" applyNumberFormat="1" applyFont="1" applyBorder="1" applyAlignment="1">
      <alignment horizontal="center"/>
    </xf>
    <xf numFmtId="37" fontId="7" fillId="0" borderId="33" xfId="0" applyNumberFormat="1" applyFont="1" applyBorder="1" applyAlignment="1">
      <alignment horizontal="center"/>
    </xf>
    <xf numFmtId="37" fontId="7" fillId="0" borderId="23" xfId="0" applyNumberFormat="1" applyFont="1" applyBorder="1" applyAlignment="1">
      <alignment horizontal="center"/>
    </xf>
    <xf numFmtId="37" fontId="7" fillId="0" borderId="38" xfId="0" applyNumberFormat="1" applyFont="1" applyBorder="1" applyAlignment="1">
      <alignment horizontal="center"/>
    </xf>
    <xf numFmtId="37" fontId="7" fillId="0" borderId="31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00" fontId="3" fillId="0" borderId="21" xfId="0" applyNumberFormat="1" applyFont="1" applyBorder="1" applyAlignment="1">
      <alignment horizontal="left"/>
    </xf>
    <xf numFmtId="200" fontId="3" fillId="0" borderId="22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7" fillId="0" borderId="21" xfId="23" applyFont="1" applyBorder="1" applyAlignment="1">
      <alignment horizontal="center"/>
    </xf>
    <xf numFmtId="43" fontId="7" fillId="0" borderId="22" xfId="23" applyFont="1" applyBorder="1" applyAlignment="1">
      <alignment horizontal="center"/>
    </xf>
    <xf numFmtId="0" fontId="14" fillId="0" borderId="43" xfId="0" applyFont="1" applyBorder="1" applyAlignment="1">
      <alignment horizontal="left" vertical="center" wrapText="1"/>
    </xf>
    <xf numFmtId="43" fontId="8" fillId="0" borderId="21" xfId="23" applyFont="1" applyBorder="1" applyAlignment="1">
      <alignment horizontal="center"/>
    </xf>
    <xf numFmtId="43" fontId="8" fillId="0" borderId="22" xfId="23" applyFont="1" applyBorder="1" applyAlignment="1">
      <alignment horizontal="center"/>
    </xf>
  </cellXfs>
  <cellStyles count="3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Comma" xfId="23"/>
    <cellStyle name="Comma [0]" xfId="24"/>
    <cellStyle name="Comma0" xfId="25"/>
    <cellStyle name="Currency" xfId="26"/>
    <cellStyle name="Currency [0]" xfId="27"/>
    <cellStyle name="Currency0" xfId="28"/>
    <cellStyle name="Date" xfId="29"/>
    <cellStyle name="Fixed" xfId="30"/>
    <cellStyle name="Followed Hyperlink" xfId="31"/>
    <cellStyle name="Header1" xfId="32"/>
    <cellStyle name="Header2" xfId="33"/>
    <cellStyle name="Heading 1" xfId="34"/>
    <cellStyle name="Heading 2" xfId="35"/>
    <cellStyle name="Hoa-Scholl" xfId="36"/>
    <cellStyle name="Hyperlink" xfId="37"/>
    <cellStyle name="Percent" xfId="38"/>
    <cellStyle name="Total" xfId="39"/>
    <cellStyle name="vnhead1" xfId="40"/>
    <cellStyle name="vnhead3" xfId="41"/>
    <cellStyle name="vntxt1" xfId="42"/>
    <cellStyle name="vntxt2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530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47625</xdr:rowOff>
    </xdr:from>
    <xdr:to>
      <xdr:col>7</xdr:col>
      <xdr:colOff>400050</xdr:colOff>
      <xdr:row>3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486150" y="733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049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0388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6</xdr:col>
      <xdr:colOff>0</xdr:colOff>
      <xdr:row>2</xdr:row>
      <xdr:rowOff>190500</xdr:rowOff>
    </xdr:to>
    <xdr:sp>
      <xdr:nvSpPr>
        <xdr:cNvPr id="3" name="Line 4"/>
        <xdr:cNvSpPr>
          <a:spLocks/>
        </xdr:cNvSpPr>
      </xdr:nvSpPr>
      <xdr:spPr>
        <a:xfrm>
          <a:off x="3343275" y="609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1</xdr:col>
      <xdr:colOff>1276350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752850" y="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1638300</xdr:colOff>
      <xdr:row>3</xdr:row>
      <xdr:rowOff>28575</xdr:rowOff>
    </xdr:from>
    <xdr:to>
      <xdr:col>4</xdr:col>
      <xdr:colOff>571500</xdr:colOff>
      <xdr:row>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190750" y="7715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2</xdr:col>
      <xdr:colOff>304800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291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3</xdr:row>
      <xdr:rowOff>47625</xdr:rowOff>
    </xdr:from>
    <xdr:to>
      <xdr:col>5</xdr:col>
      <xdr:colOff>400050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2809875" y="7048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1447800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766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1</xdr:col>
      <xdr:colOff>1247775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575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0</xdr:col>
      <xdr:colOff>1876425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914775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thao%202006\Don%20gia%20CLHSDC\sy\keHoach\Don%20gia%202006(305)\Don%20gia%20do%20dac\DG_XN_SO%20350%20(da%20su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T minh"/>
      <sheetName val="th_gia doc"/>
      <sheetName val="th_gia"/>
      <sheetName val="DCI"/>
      <sheetName val="dnoi_DCI"/>
      <sheetName val="DCII"/>
      <sheetName val="dnoi_DCII"/>
      <sheetName val="BD_5T,1"/>
      <sheetName val="BD_2,5"/>
      <sheetName val="shoa_nan"/>
      <sheetName val="doc lap"/>
      <sheetName val="dg_hangmuc"/>
      <sheetName val="lcbdc"/>
      <sheetName val="lngay"/>
      <sheetName val="nluoi"/>
      <sheetName val="n500"/>
      <sheetName val="n1000"/>
      <sheetName val="n2000"/>
      <sheetName val="n5000"/>
      <sheetName val="n_shoa,nan"/>
      <sheetName val="vt_dc1"/>
      <sheetName val="vt_dc2"/>
      <sheetName val="vtNgNbdo"/>
      <sheetName val="vtNN_bdo"/>
      <sheetName val="vtbtap"/>
      <sheetName val="vt shoa,nan"/>
      <sheetName val="kh"/>
      <sheetName val="KH_nan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workbookViewId="0" topLeftCell="A1">
      <selection activeCell="H7" sqref="H7"/>
    </sheetView>
  </sheetViews>
  <sheetFormatPr defaultColWidth="8.88671875" defaultRowHeight="18.75"/>
  <cols>
    <col min="1" max="1" width="3.4453125" style="2" customWidth="1"/>
    <col min="2" max="2" width="17.4453125" style="2" customWidth="1"/>
    <col min="3" max="3" width="0.10546875" style="2" customWidth="1"/>
    <col min="4" max="4" width="5.3359375" style="2" customWidth="1"/>
    <col min="5" max="6" width="8.77734375" style="2" customWidth="1"/>
    <col min="7" max="7" width="6.5546875" style="2" customWidth="1"/>
    <col min="8" max="8" width="8.77734375" style="2" customWidth="1"/>
    <col min="9" max="9" width="7.6640625" style="2" customWidth="1"/>
    <col min="10" max="12" width="8.77734375" style="2" customWidth="1"/>
    <col min="13" max="16384" width="8.88671875" style="2" customWidth="1"/>
  </cols>
  <sheetData>
    <row r="1" spans="1:12" ht="18.75">
      <c r="A1" s="461" t="s">
        <v>208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6.5">
      <c r="A2" s="460" t="s">
        <v>161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2" ht="18.75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</row>
    <row r="4" spans="1:12" ht="18.75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</row>
    <row r="5" spans="1:12" ht="18.75">
      <c r="A5" s="458" t="s">
        <v>162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</row>
    <row r="6" spans="1:12" ht="21.75" thickBot="1">
      <c r="A6" s="54"/>
      <c r="B6" s="452" t="s">
        <v>59</v>
      </c>
      <c r="C6" s="55"/>
      <c r="D6" s="55"/>
      <c r="E6" s="55"/>
      <c r="F6" s="55"/>
      <c r="G6" s="55"/>
      <c r="H6" s="55"/>
      <c r="I6" s="55"/>
      <c r="J6" s="55"/>
      <c r="K6" s="407" t="s">
        <v>165</v>
      </c>
      <c r="L6" s="55"/>
    </row>
    <row r="7" spans="1:12" s="62" customFormat="1" ht="32.25" thickBot="1">
      <c r="A7" s="59" t="s">
        <v>0</v>
      </c>
      <c r="B7" s="59" t="s">
        <v>51</v>
      </c>
      <c r="C7" s="60"/>
      <c r="D7" s="60" t="s">
        <v>52</v>
      </c>
      <c r="E7" s="60" t="s">
        <v>53</v>
      </c>
      <c r="F7" s="60" t="s">
        <v>263</v>
      </c>
      <c r="G7" s="60"/>
      <c r="H7" s="60" t="s">
        <v>264</v>
      </c>
      <c r="I7" s="60"/>
      <c r="J7" s="60" t="s">
        <v>200</v>
      </c>
      <c r="K7" s="60" t="s">
        <v>1</v>
      </c>
      <c r="L7" s="61" t="s">
        <v>56</v>
      </c>
    </row>
    <row r="8" spans="1:12" s="13" customFormat="1" ht="15" thickBot="1">
      <c r="A8" s="56"/>
      <c r="B8" s="74">
        <v>1</v>
      </c>
      <c r="C8" s="57"/>
      <c r="D8" s="57">
        <v>3</v>
      </c>
      <c r="E8" s="57">
        <v>4</v>
      </c>
      <c r="F8" s="57">
        <v>5</v>
      </c>
      <c r="G8" s="57"/>
      <c r="H8" s="57">
        <v>7</v>
      </c>
      <c r="I8" s="57"/>
      <c r="J8" s="57">
        <v>9</v>
      </c>
      <c r="K8" s="57">
        <v>10</v>
      </c>
      <c r="L8" s="58">
        <v>11</v>
      </c>
    </row>
    <row r="9" spans="1:12" s="13" customFormat="1" ht="18">
      <c r="A9" s="78" t="s">
        <v>57</v>
      </c>
      <c r="B9" s="78" t="s">
        <v>54</v>
      </c>
      <c r="C9" s="75"/>
      <c r="D9" s="76"/>
      <c r="E9" s="75"/>
      <c r="F9" s="75"/>
      <c r="G9" s="75"/>
      <c r="H9" s="75"/>
      <c r="I9" s="76"/>
      <c r="J9" s="76"/>
      <c r="K9" s="76"/>
      <c r="L9" s="86"/>
    </row>
    <row r="10" spans="1:12" s="4" customFormat="1" ht="18">
      <c r="A10" s="91"/>
      <c r="B10" s="79">
        <v>1</v>
      </c>
      <c r="C10" s="79"/>
      <c r="D10" s="80">
        <v>2.34</v>
      </c>
      <c r="E10" s="87">
        <f>450000*D10</f>
        <v>1053000</v>
      </c>
      <c r="F10" s="87">
        <f>E10*11%</f>
        <v>115830</v>
      </c>
      <c r="G10" s="87"/>
      <c r="H10" s="87">
        <f>450000*0.04</f>
        <v>18000</v>
      </c>
      <c r="I10" s="87"/>
      <c r="J10" s="87">
        <f>(E10+F10)*19%</f>
        <v>222077.7</v>
      </c>
      <c r="K10" s="87">
        <f>SUM(E10:J10)</f>
        <v>1408907.7</v>
      </c>
      <c r="L10" s="88">
        <f>K10/26</f>
        <v>54188.75769230769</v>
      </c>
    </row>
    <row r="11" spans="1:12" s="4" customFormat="1" ht="18">
      <c r="A11" s="91"/>
      <c r="B11" s="79">
        <v>2</v>
      </c>
      <c r="C11" s="79"/>
      <c r="D11" s="80">
        <v>2.67</v>
      </c>
      <c r="E11" s="87">
        <f aca="true" t="shared" si="0" ref="E11:E29">450000*D11</f>
        <v>1201500</v>
      </c>
      <c r="F11" s="87">
        <f>E11*11%</f>
        <v>132165</v>
      </c>
      <c r="G11" s="87"/>
      <c r="H11" s="87">
        <f aca="true" t="shared" si="1" ref="H11:H29">450000*0.04</f>
        <v>18000</v>
      </c>
      <c r="I11" s="87"/>
      <c r="J11" s="87">
        <f aca="true" t="shared" si="2" ref="J11:J29">(E11+F11)*19%</f>
        <v>253396.35</v>
      </c>
      <c r="K11" s="87">
        <f aca="true" t="shared" si="3" ref="K11:K18">SUM(E11:J11)</f>
        <v>1605061.35</v>
      </c>
      <c r="L11" s="88">
        <f aca="true" t="shared" si="4" ref="L11:L29">K11/26</f>
        <v>61733.12884615385</v>
      </c>
    </row>
    <row r="12" spans="1:12" s="4" customFormat="1" ht="18">
      <c r="A12" s="91"/>
      <c r="B12" s="79">
        <v>3</v>
      </c>
      <c r="C12" s="79"/>
      <c r="D12" s="80">
        <v>3</v>
      </c>
      <c r="E12" s="87">
        <f t="shared" si="0"/>
        <v>1350000</v>
      </c>
      <c r="F12" s="87">
        <f aca="true" t="shared" si="5" ref="F12:F29">E12*11%</f>
        <v>148500</v>
      </c>
      <c r="G12" s="87"/>
      <c r="H12" s="87">
        <f t="shared" si="1"/>
        <v>18000</v>
      </c>
      <c r="I12" s="87"/>
      <c r="J12" s="87">
        <f t="shared" si="2"/>
        <v>284715</v>
      </c>
      <c r="K12" s="87">
        <f t="shared" si="3"/>
        <v>1801215</v>
      </c>
      <c r="L12" s="88">
        <f t="shared" si="4"/>
        <v>69277.5</v>
      </c>
    </row>
    <row r="13" spans="1:12" s="4" customFormat="1" ht="18">
      <c r="A13" s="91"/>
      <c r="B13" s="79">
        <v>4</v>
      </c>
      <c r="C13" s="79"/>
      <c r="D13" s="80">
        <v>3.33</v>
      </c>
      <c r="E13" s="87">
        <f t="shared" si="0"/>
        <v>1498500</v>
      </c>
      <c r="F13" s="87">
        <f t="shared" si="5"/>
        <v>164835</v>
      </c>
      <c r="G13" s="87"/>
      <c r="H13" s="87">
        <f t="shared" si="1"/>
        <v>18000</v>
      </c>
      <c r="I13" s="87"/>
      <c r="J13" s="87">
        <f t="shared" si="2"/>
        <v>316033.65</v>
      </c>
      <c r="K13" s="87">
        <f t="shared" si="3"/>
        <v>1997368.65</v>
      </c>
      <c r="L13" s="88">
        <f t="shared" si="4"/>
        <v>76821.87115384615</v>
      </c>
    </row>
    <row r="14" spans="1:12" s="4" customFormat="1" ht="18">
      <c r="A14" s="91"/>
      <c r="B14" s="79">
        <v>5</v>
      </c>
      <c r="C14" s="79"/>
      <c r="D14" s="80">
        <v>3.66</v>
      </c>
      <c r="E14" s="87">
        <f t="shared" si="0"/>
        <v>1647000</v>
      </c>
      <c r="F14" s="87">
        <f t="shared" si="5"/>
        <v>181170</v>
      </c>
      <c r="G14" s="87"/>
      <c r="H14" s="87">
        <f t="shared" si="1"/>
        <v>18000</v>
      </c>
      <c r="I14" s="87"/>
      <c r="J14" s="87">
        <f t="shared" si="2"/>
        <v>347352.3</v>
      </c>
      <c r="K14" s="87">
        <f t="shared" si="3"/>
        <v>2193522.3</v>
      </c>
      <c r="L14" s="88">
        <f t="shared" si="4"/>
        <v>84366.2423076923</v>
      </c>
    </row>
    <row r="15" spans="1:12" s="4" customFormat="1" ht="18">
      <c r="A15" s="91"/>
      <c r="B15" s="79">
        <v>6</v>
      </c>
      <c r="C15" s="79"/>
      <c r="D15" s="80">
        <v>3.99</v>
      </c>
      <c r="E15" s="87">
        <f t="shared" si="0"/>
        <v>1795500</v>
      </c>
      <c r="F15" s="87">
        <f t="shared" si="5"/>
        <v>197505</v>
      </c>
      <c r="G15" s="87"/>
      <c r="H15" s="87">
        <f t="shared" si="1"/>
        <v>18000</v>
      </c>
      <c r="I15" s="87"/>
      <c r="J15" s="87">
        <f t="shared" si="2"/>
        <v>378670.95</v>
      </c>
      <c r="K15" s="87">
        <f t="shared" si="3"/>
        <v>2389675.95</v>
      </c>
      <c r="L15" s="88">
        <f t="shared" si="4"/>
        <v>91910.61346153847</v>
      </c>
    </row>
    <row r="16" spans="1:12" s="4" customFormat="1" ht="18">
      <c r="A16" s="91"/>
      <c r="B16" s="79">
        <v>7</v>
      </c>
      <c r="C16" s="79"/>
      <c r="D16" s="80">
        <v>4.32</v>
      </c>
      <c r="E16" s="87">
        <f t="shared" si="0"/>
        <v>1944000.0000000002</v>
      </c>
      <c r="F16" s="87">
        <f t="shared" si="5"/>
        <v>213840.00000000003</v>
      </c>
      <c r="G16" s="87"/>
      <c r="H16" s="87">
        <f t="shared" si="1"/>
        <v>18000</v>
      </c>
      <c r="I16" s="87"/>
      <c r="J16" s="87">
        <f t="shared" si="2"/>
        <v>409989.6000000001</v>
      </c>
      <c r="K16" s="87">
        <f t="shared" si="3"/>
        <v>2585829.6000000006</v>
      </c>
      <c r="L16" s="88">
        <f t="shared" si="4"/>
        <v>99454.98461538463</v>
      </c>
    </row>
    <row r="17" spans="1:12" s="4" customFormat="1" ht="18">
      <c r="A17" s="91"/>
      <c r="B17" s="79">
        <v>8</v>
      </c>
      <c r="C17" s="79"/>
      <c r="D17" s="80">
        <v>4.65</v>
      </c>
      <c r="E17" s="87">
        <f t="shared" si="0"/>
        <v>2092500.0000000002</v>
      </c>
      <c r="F17" s="87">
        <f t="shared" si="5"/>
        <v>230175.00000000003</v>
      </c>
      <c r="G17" s="87"/>
      <c r="H17" s="87">
        <f t="shared" si="1"/>
        <v>18000</v>
      </c>
      <c r="I17" s="87"/>
      <c r="J17" s="87">
        <f t="shared" si="2"/>
        <v>441308.2500000001</v>
      </c>
      <c r="K17" s="87">
        <f>SUM(E17:J17)</f>
        <v>2781983.2500000005</v>
      </c>
      <c r="L17" s="88">
        <f t="shared" si="4"/>
        <v>106999.35576923078</v>
      </c>
    </row>
    <row r="18" spans="1:12" s="4" customFormat="1" ht="18">
      <c r="A18" s="91"/>
      <c r="B18" s="79">
        <v>9</v>
      </c>
      <c r="C18" s="79"/>
      <c r="D18" s="80">
        <v>4.8</v>
      </c>
      <c r="E18" s="87">
        <f t="shared" si="0"/>
        <v>2160000</v>
      </c>
      <c r="F18" s="87">
        <f t="shared" si="5"/>
        <v>237600</v>
      </c>
      <c r="G18" s="87"/>
      <c r="H18" s="87">
        <f t="shared" si="1"/>
        <v>18000</v>
      </c>
      <c r="I18" s="87"/>
      <c r="J18" s="87">
        <f t="shared" si="2"/>
        <v>455544</v>
      </c>
      <c r="K18" s="87">
        <f t="shared" si="3"/>
        <v>2871144</v>
      </c>
      <c r="L18" s="88">
        <f t="shared" si="4"/>
        <v>110428.61538461539</v>
      </c>
    </row>
    <row r="19" spans="1:12" s="4" customFormat="1" ht="18">
      <c r="A19" s="92" t="s">
        <v>58</v>
      </c>
      <c r="B19" s="81" t="s">
        <v>55</v>
      </c>
      <c r="C19" s="79"/>
      <c r="D19" s="80"/>
      <c r="E19" s="87"/>
      <c r="F19" s="87"/>
      <c r="G19" s="87"/>
      <c r="H19" s="87"/>
      <c r="I19" s="87"/>
      <c r="J19" s="87"/>
      <c r="K19" s="87"/>
      <c r="L19" s="88"/>
    </row>
    <row r="20" spans="1:12" s="4" customFormat="1" ht="17.25">
      <c r="A20" s="92"/>
      <c r="B20" s="79">
        <v>3</v>
      </c>
      <c r="C20" s="79"/>
      <c r="D20" s="80">
        <v>2.26</v>
      </c>
      <c r="E20" s="87">
        <f t="shared" si="0"/>
        <v>1016999.9999999999</v>
      </c>
      <c r="F20" s="87">
        <f t="shared" si="5"/>
        <v>111869.99999999999</v>
      </c>
      <c r="G20" s="87"/>
      <c r="H20" s="87">
        <f t="shared" si="1"/>
        <v>18000</v>
      </c>
      <c r="I20" s="87"/>
      <c r="J20" s="87">
        <f t="shared" si="2"/>
        <v>214485.29999999996</v>
      </c>
      <c r="K20" s="87">
        <f>SUM(E20:J20)</f>
        <v>1361355.2999999998</v>
      </c>
      <c r="L20" s="88">
        <f t="shared" si="4"/>
        <v>52359.81923076922</v>
      </c>
    </row>
    <row r="21" spans="1:12" s="4" customFormat="1" ht="18">
      <c r="A21" s="91"/>
      <c r="B21" s="79">
        <v>4</v>
      </c>
      <c r="C21" s="79"/>
      <c r="D21" s="80">
        <v>2.46</v>
      </c>
      <c r="E21" s="87">
        <f t="shared" si="0"/>
        <v>1107000</v>
      </c>
      <c r="F21" s="87">
        <f t="shared" si="5"/>
        <v>121770</v>
      </c>
      <c r="G21" s="87"/>
      <c r="H21" s="87">
        <f t="shared" si="1"/>
        <v>18000</v>
      </c>
      <c r="I21" s="87"/>
      <c r="J21" s="87">
        <f t="shared" si="2"/>
        <v>233466.3</v>
      </c>
      <c r="K21" s="87">
        <f aca="true" t="shared" si="6" ref="K21:K27">SUM(E21:J21)</f>
        <v>1480236.3</v>
      </c>
      <c r="L21" s="88">
        <f t="shared" si="4"/>
        <v>56932.165384615386</v>
      </c>
    </row>
    <row r="22" spans="1:12" s="4" customFormat="1" ht="18">
      <c r="A22" s="91"/>
      <c r="B22" s="79">
        <v>5</v>
      </c>
      <c r="C22" s="79"/>
      <c r="D22" s="80">
        <v>2.66</v>
      </c>
      <c r="E22" s="87">
        <f t="shared" si="0"/>
        <v>1197000</v>
      </c>
      <c r="F22" s="87">
        <f t="shared" si="5"/>
        <v>131670</v>
      </c>
      <c r="G22" s="87"/>
      <c r="H22" s="87">
        <f t="shared" si="1"/>
        <v>18000</v>
      </c>
      <c r="I22" s="87"/>
      <c r="J22" s="87">
        <f t="shared" si="2"/>
        <v>252447.30000000002</v>
      </c>
      <c r="K22" s="87">
        <f t="shared" si="6"/>
        <v>1599117.3</v>
      </c>
      <c r="L22" s="88">
        <f t="shared" si="4"/>
        <v>61504.51153846154</v>
      </c>
    </row>
    <row r="23" spans="1:12" s="4" customFormat="1" ht="18">
      <c r="A23" s="91"/>
      <c r="B23" s="79">
        <v>6</v>
      </c>
      <c r="C23" s="79"/>
      <c r="D23" s="80">
        <v>2.86</v>
      </c>
      <c r="E23" s="87">
        <f t="shared" si="0"/>
        <v>1287000</v>
      </c>
      <c r="F23" s="87">
        <f t="shared" si="5"/>
        <v>141570</v>
      </c>
      <c r="G23" s="87"/>
      <c r="H23" s="87">
        <f t="shared" si="1"/>
        <v>18000</v>
      </c>
      <c r="I23" s="87"/>
      <c r="J23" s="87">
        <f t="shared" si="2"/>
        <v>271428.3</v>
      </c>
      <c r="K23" s="87">
        <f t="shared" si="6"/>
        <v>1717998.3</v>
      </c>
      <c r="L23" s="88">
        <f t="shared" si="4"/>
        <v>66076.85769230769</v>
      </c>
    </row>
    <row r="24" spans="1:12" s="4" customFormat="1" ht="18">
      <c r="A24" s="91"/>
      <c r="B24" s="79">
        <v>7</v>
      </c>
      <c r="C24" s="79"/>
      <c r="D24" s="80">
        <v>3.06</v>
      </c>
      <c r="E24" s="87">
        <f t="shared" si="0"/>
        <v>1377000</v>
      </c>
      <c r="F24" s="87">
        <f t="shared" si="5"/>
        <v>151470</v>
      </c>
      <c r="G24" s="87"/>
      <c r="H24" s="87">
        <f t="shared" si="1"/>
        <v>18000</v>
      </c>
      <c r="I24" s="87"/>
      <c r="J24" s="87">
        <f t="shared" si="2"/>
        <v>290409.3</v>
      </c>
      <c r="K24" s="87">
        <f t="shared" si="6"/>
        <v>1836879.3</v>
      </c>
      <c r="L24" s="88">
        <f t="shared" si="4"/>
        <v>70649.20384615385</v>
      </c>
    </row>
    <row r="25" spans="1:12" s="4" customFormat="1" ht="18">
      <c r="A25" s="91"/>
      <c r="B25" s="79">
        <v>8</v>
      </c>
      <c r="C25" s="79"/>
      <c r="D25" s="80">
        <v>3.26</v>
      </c>
      <c r="E25" s="87">
        <f t="shared" si="0"/>
        <v>1467000</v>
      </c>
      <c r="F25" s="87">
        <f t="shared" si="5"/>
        <v>161370</v>
      </c>
      <c r="G25" s="87"/>
      <c r="H25" s="87">
        <f t="shared" si="1"/>
        <v>18000</v>
      </c>
      <c r="I25" s="87"/>
      <c r="J25" s="87">
        <f t="shared" si="2"/>
        <v>309390.3</v>
      </c>
      <c r="K25" s="87">
        <f t="shared" si="6"/>
        <v>1955760.3</v>
      </c>
      <c r="L25" s="88">
        <f t="shared" si="4"/>
        <v>75221.55</v>
      </c>
    </row>
    <row r="26" spans="1:12" s="4" customFormat="1" ht="18">
      <c r="A26" s="91"/>
      <c r="B26" s="79">
        <v>9</v>
      </c>
      <c r="C26" s="79"/>
      <c r="D26" s="80">
        <v>3.46</v>
      </c>
      <c r="E26" s="87">
        <f t="shared" si="0"/>
        <v>1557000</v>
      </c>
      <c r="F26" s="87">
        <f t="shared" si="5"/>
        <v>171270</v>
      </c>
      <c r="G26" s="87"/>
      <c r="H26" s="87">
        <f t="shared" si="1"/>
        <v>18000</v>
      </c>
      <c r="I26" s="87"/>
      <c r="J26" s="87">
        <f t="shared" si="2"/>
        <v>328371.3</v>
      </c>
      <c r="K26" s="87">
        <f t="shared" si="6"/>
        <v>2074641.3</v>
      </c>
      <c r="L26" s="88">
        <f t="shared" si="4"/>
        <v>79793.89615384616</v>
      </c>
    </row>
    <row r="27" spans="1:12" s="4" customFormat="1" ht="18">
      <c r="A27" s="91"/>
      <c r="B27" s="79">
        <v>10</v>
      </c>
      <c r="C27" s="79"/>
      <c r="D27" s="80">
        <v>3.66</v>
      </c>
      <c r="E27" s="87">
        <f t="shared" si="0"/>
        <v>1647000</v>
      </c>
      <c r="F27" s="87">
        <f t="shared" si="5"/>
        <v>181170</v>
      </c>
      <c r="G27" s="87"/>
      <c r="H27" s="87">
        <f t="shared" si="1"/>
        <v>18000</v>
      </c>
      <c r="I27" s="87"/>
      <c r="J27" s="87">
        <f t="shared" si="2"/>
        <v>347352.3</v>
      </c>
      <c r="K27" s="87">
        <f t="shared" si="6"/>
        <v>2193522.3</v>
      </c>
      <c r="L27" s="88">
        <f t="shared" si="4"/>
        <v>84366.2423076923</v>
      </c>
    </row>
    <row r="28" spans="1:12" s="4" customFormat="1" ht="18">
      <c r="A28" s="91" t="s">
        <v>2</v>
      </c>
      <c r="B28" s="416" t="s">
        <v>3</v>
      </c>
      <c r="C28" s="82"/>
      <c r="D28" s="80"/>
      <c r="E28" s="87"/>
      <c r="F28" s="87"/>
      <c r="G28" s="87"/>
      <c r="H28" s="87"/>
      <c r="I28" s="87"/>
      <c r="J28" s="87"/>
      <c r="K28" s="87"/>
      <c r="L28" s="88"/>
    </row>
    <row r="29" spans="1:12" s="4" customFormat="1" ht="18.75" thickBot="1">
      <c r="A29" s="83"/>
      <c r="B29" s="84">
        <v>3</v>
      </c>
      <c r="C29" s="84"/>
      <c r="D29" s="85">
        <v>3.05</v>
      </c>
      <c r="E29" s="89">
        <f t="shared" si="0"/>
        <v>1372500</v>
      </c>
      <c r="F29" s="89">
        <f t="shared" si="5"/>
        <v>150975</v>
      </c>
      <c r="G29" s="89"/>
      <c r="H29" s="89">
        <f t="shared" si="1"/>
        <v>18000</v>
      </c>
      <c r="I29" s="89"/>
      <c r="J29" s="89">
        <f t="shared" si="2"/>
        <v>289460.25</v>
      </c>
      <c r="K29" s="89">
        <f>SUM(E29:J29)</f>
        <v>1830935.25</v>
      </c>
      <c r="L29" s="90">
        <f t="shared" si="4"/>
        <v>70420.58653846153</v>
      </c>
    </row>
    <row r="30" spans="1:2" s="5" customFormat="1" ht="15.75">
      <c r="A30" s="68"/>
      <c r="B30" s="68"/>
    </row>
    <row r="31" spans="1:2" ht="16.5">
      <c r="A31" s="67"/>
      <c r="B31" s="67"/>
    </row>
    <row r="32" spans="1:7" ht="17.25">
      <c r="A32" s="66"/>
      <c r="B32" s="66"/>
      <c r="C32" s="53"/>
      <c r="G32" s="2">
        <v>0</v>
      </c>
    </row>
    <row r="33" spans="1:3" ht="17.25">
      <c r="A33" s="65"/>
      <c r="B33" s="65"/>
      <c r="C33" s="53"/>
    </row>
    <row r="34" spans="1:3" ht="17.25">
      <c r="A34" s="66"/>
      <c r="B34" s="66"/>
      <c r="C34" s="53"/>
    </row>
    <row r="35" spans="1:12" s="4" customFormat="1" ht="15.75">
      <c r="A35" s="71"/>
      <c r="B35" s="71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3" s="4" customFormat="1" ht="15.75">
      <c r="A36" s="69"/>
      <c r="B36" s="69"/>
      <c r="C36" s="38"/>
    </row>
    <row r="37" spans="1:2" s="4" customFormat="1" ht="15.75">
      <c r="A37" s="69"/>
      <c r="B37" s="69"/>
    </row>
    <row r="38" s="4" customFormat="1" ht="15.75"/>
    <row r="39" s="4" customFormat="1" ht="15.75"/>
    <row r="40" spans="1:3" s="4" customFormat="1" ht="15.75">
      <c r="A40" s="72"/>
      <c r="B40" s="72"/>
      <c r="C40" s="69"/>
    </row>
    <row r="41" s="4" customFormat="1" ht="15.75">
      <c r="C41" s="69"/>
    </row>
    <row r="42" ht="16.5">
      <c r="C42" s="69"/>
    </row>
    <row r="43" s="4" customFormat="1" ht="15.75">
      <c r="C43" s="69"/>
    </row>
  </sheetData>
  <mergeCells count="4">
    <mergeCell ref="A5:L5"/>
    <mergeCell ref="A4:L4"/>
    <mergeCell ref="A1:L1"/>
    <mergeCell ref="A2:L3"/>
  </mergeCells>
  <printOptions/>
  <pageMargins left="1.17" right="0.5" top="0.88" bottom="1" header="0.53" footer="0.5"/>
  <pageSetup horizontalDpi="600" verticalDpi="600" orientation="landscape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showZeros="0" workbookViewId="0" topLeftCell="A1">
      <selection activeCell="A48" sqref="A48:F48"/>
    </sheetView>
  </sheetViews>
  <sheetFormatPr defaultColWidth="8.88671875" defaultRowHeight="18.75"/>
  <cols>
    <col min="1" max="1" width="4.4453125" style="116" customWidth="1"/>
    <col min="2" max="2" width="17.88671875" style="17" customWidth="1"/>
    <col min="3" max="3" width="5.88671875" style="17" customWidth="1"/>
    <col min="4" max="4" width="10.77734375" style="17" customWidth="1"/>
    <col min="5" max="5" width="9.10546875" style="17" customWidth="1"/>
    <col min="6" max="6" width="7.4453125" style="17" customWidth="1"/>
    <col min="7" max="7" width="7.3359375" style="17" customWidth="1"/>
    <col min="8" max="8" width="7.10546875" style="17" customWidth="1"/>
    <col min="9" max="9" width="6.10546875" style="17" customWidth="1"/>
    <col min="10" max="10" width="5.6640625" style="17" customWidth="1"/>
    <col min="11" max="11" width="6.99609375" style="17" customWidth="1"/>
    <col min="12" max="12" width="7.77734375" style="17" customWidth="1"/>
    <col min="13" max="16384" width="8.88671875" style="17" customWidth="1"/>
  </cols>
  <sheetData>
    <row r="1" spans="1:12" s="99" customFormat="1" ht="16.5" customHeight="1">
      <c r="A1" s="438" t="s">
        <v>209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s="99" customFormat="1" ht="16.5" customHeight="1">
      <c r="A2" s="436" t="s">
        <v>163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s="99" customFormat="1" ht="16.5" customHeight="1">
      <c r="A3" s="437" t="s">
        <v>164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99" customFormat="1" ht="16.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s="99" customFormat="1" ht="16.5" customHeight="1">
      <c r="A5" s="413" t="s">
        <v>96</v>
      </c>
      <c r="B5" s="389"/>
      <c r="C5" s="389"/>
      <c r="D5" s="389"/>
      <c r="E5" s="389"/>
      <c r="F5" s="389"/>
      <c r="G5" s="389"/>
      <c r="H5" s="389"/>
      <c r="I5" s="412"/>
      <c r="J5" s="412"/>
      <c r="K5" s="412"/>
      <c r="L5" s="412"/>
    </row>
    <row r="6" spans="1:13" ht="16.5" customHeight="1">
      <c r="A6" s="441" t="s">
        <v>148</v>
      </c>
      <c r="B6" s="441"/>
      <c r="C6" s="441"/>
      <c r="D6" s="441"/>
      <c r="E6" s="441"/>
      <c r="F6" s="441"/>
      <c r="G6" s="441"/>
      <c r="H6" s="441"/>
      <c r="M6" s="211"/>
    </row>
    <row r="7" spans="1:13" s="99" customFormat="1" ht="16.5" customHeight="1">
      <c r="A7" s="389"/>
      <c r="B7" s="17" t="s">
        <v>201</v>
      </c>
      <c r="C7" s="412"/>
      <c r="D7" s="412"/>
      <c r="E7" s="17"/>
      <c r="F7" s="17"/>
      <c r="G7" s="412"/>
      <c r="H7" s="412"/>
      <c r="I7" s="412"/>
      <c r="J7" s="412"/>
      <c r="K7" s="412"/>
      <c r="L7" s="412"/>
      <c r="M7" s="212"/>
    </row>
    <row r="8" spans="1:13" s="99" customFormat="1" ht="16.5" customHeight="1">
      <c r="A8" s="389"/>
      <c r="B8" s="17"/>
      <c r="C8" s="412"/>
      <c r="D8" s="389" t="s">
        <v>210</v>
      </c>
      <c r="E8" s="116"/>
      <c r="F8" s="116"/>
      <c r="G8" s="389"/>
      <c r="H8" s="402" t="s">
        <v>202</v>
      </c>
      <c r="I8" s="453"/>
      <c r="J8" s="389"/>
      <c r="K8" s="389"/>
      <c r="L8" s="412"/>
      <c r="M8" s="212"/>
    </row>
    <row r="9" spans="1:6" s="214" customFormat="1" ht="16.5" customHeight="1">
      <c r="A9" s="132" t="s">
        <v>173</v>
      </c>
      <c r="B9" s="126" t="s">
        <v>136</v>
      </c>
      <c r="C9" s="180" t="s">
        <v>47</v>
      </c>
      <c r="D9" s="180" t="s">
        <v>48</v>
      </c>
      <c r="E9" s="213" t="s">
        <v>49</v>
      </c>
      <c r="F9" s="180" t="s">
        <v>50</v>
      </c>
    </row>
    <row r="10" spans="1:11" s="37" customFormat="1" ht="16.5" customHeight="1">
      <c r="A10" s="185"/>
      <c r="B10" s="181" t="s">
        <v>146</v>
      </c>
      <c r="C10" s="385">
        <f>SUM(C11:C13)/3</f>
        <v>0.18000000000000002</v>
      </c>
      <c r="D10" s="387">
        <f>SUM(D11:D13)/3</f>
        <v>0.14</v>
      </c>
      <c r="E10" s="96">
        <f>SUM(E11:E13)/2</f>
        <v>0.1</v>
      </c>
      <c r="F10" s="386">
        <f>SUM(F11:F13)/2</f>
        <v>0.08</v>
      </c>
      <c r="H10" s="94"/>
      <c r="I10" s="94"/>
      <c r="J10" s="94"/>
      <c r="K10" s="63"/>
    </row>
    <row r="11" spans="1:11" s="37" customFormat="1" ht="16.5" customHeight="1">
      <c r="A11" s="12">
        <v>1</v>
      </c>
      <c r="B11" s="95" t="s">
        <v>46</v>
      </c>
      <c r="C11" s="96">
        <v>0.16</v>
      </c>
      <c r="D11" s="96">
        <v>0.12</v>
      </c>
      <c r="E11" s="96">
        <v>0.09</v>
      </c>
      <c r="F11" s="96">
        <v>0.07</v>
      </c>
      <c r="H11" s="94"/>
      <c r="I11" s="94"/>
      <c r="J11" s="94"/>
      <c r="K11" s="63"/>
    </row>
    <row r="12" spans="1:11" s="37" customFormat="1" ht="16.5" customHeight="1">
      <c r="A12" s="12">
        <v>2</v>
      </c>
      <c r="B12" s="95" t="s">
        <v>211</v>
      </c>
      <c r="C12" s="96">
        <v>0.18</v>
      </c>
      <c r="D12" s="96">
        <v>0.14</v>
      </c>
      <c r="E12" s="96">
        <v>0.11</v>
      </c>
      <c r="F12" s="96">
        <v>0.09</v>
      </c>
      <c r="H12" s="94"/>
      <c r="I12" s="94"/>
      <c r="J12" s="94"/>
      <c r="K12" s="63"/>
    </row>
    <row r="13" spans="1:11" s="37" customFormat="1" ht="16.5" customHeight="1">
      <c r="A13" s="12">
        <v>3</v>
      </c>
      <c r="B13" s="95" t="s">
        <v>212</v>
      </c>
      <c r="C13" s="96">
        <v>0.2</v>
      </c>
      <c r="D13" s="96">
        <v>0.16</v>
      </c>
      <c r="E13" s="96"/>
      <c r="F13" s="96"/>
      <c r="H13" s="94"/>
      <c r="I13" s="94"/>
      <c r="J13" s="94"/>
      <c r="K13" s="63"/>
    </row>
    <row r="14" spans="1:11" s="37" customFormat="1" ht="16.5" customHeight="1">
      <c r="A14" s="47"/>
      <c r="B14" s="109"/>
      <c r="C14" s="110"/>
      <c r="D14" s="110"/>
      <c r="E14" s="110"/>
      <c r="F14" s="110"/>
      <c r="H14" s="94"/>
      <c r="I14" s="94"/>
      <c r="J14" s="94"/>
      <c r="K14" s="63"/>
    </row>
    <row r="15" spans="1:11" s="53" customFormat="1" ht="16.5" customHeight="1">
      <c r="A15" s="40" t="s">
        <v>203</v>
      </c>
      <c r="B15" s="215"/>
      <c r="C15" s="216"/>
      <c r="D15" s="216"/>
      <c r="E15" s="217"/>
      <c r="F15" s="216"/>
      <c r="G15" s="218"/>
      <c r="H15" s="219"/>
      <c r="I15" s="219"/>
      <c r="J15" s="219"/>
      <c r="K15" s="220"/>
    </row>
    <row r="16" spans="1:11" s="214" customFormat="1" ht="16.5" customHeight="1">
      <c r="A16" s="126" t="s">
        <v>135</v>
      </c>
      <c r="B16" s="191"/>
      <c r="C16" s="180" t="s">
        <v>47</v>
      </c>
      <c r="D16" s="180" t="s">
        <v>48</v>
      </c>
      <c r="E16" s="213" t="s">
        <v>49</v>
      </c>
      <c r="F16" s="221" t="s">
        <v>50</v>
      </c>
      <c r="G16" s="126" t="s">
        <v>12</v>
      </c>
      <c r="H16" s="132" t="s">
        <v>64</v>
      </c>
      <c r="I16" s="132" t="s">
        <v>65</v>
      </c>
      <c r="J16" s="132" t="s">
        <v>74</v>
      </c>
      <c r="K16" s="417" t="s">
        <v>36</v>
      </c>
    </row>
    <row r="17" spans="1:11" s="37" customFormat="1" ht="16.5" customHeight="1">
      <c r="A17" s="126" t="s">
        <v>134</v>
      </c>
      <c r="B17" s="95"/>
      <c r="C17" s="222">
        <f>C10*2*'B1.Luong noi.n'!$L$22</f>
        <v>22141.624153846158</v>
      </c>
      <c r="D17" s="222">
        <f>D10*2*'B1.Luong noi.n'!$L$22</f>
        <v>17221.263230769233</v>
      </c>
      <c r="E17" s="222">
        <f>E10*2*'B1.Luong noi.n'!$L$22</f>
        <v>12300.90230769231</v>
      </c>
      <c r="F17" s="222">
        <f>F10*2*'B1.Luong noi.n'!$L$22</f>
        <v>9840.721846153847</v>
      </c>
      <c r="G17" s="222">
        <f>SUM(C17:F17)/4</f>
        <v>15376.127884615387</v>
      </c>
      <c r="H17" s="222">
        <f>I17</f>
        <v>5125.375961538462</v>
      </c>
      <c r="I17" s="222">
        <f>G17/3</f>
        <v>5125.375961538462</v>
      </c>
      <c r="J17" s="222">
        <f>I17</f>
        <v>5125.375961538462</v>
      </c>
      <c r="K17" s="223">
        <f>SUM(H17:J17)</f>
        <v>15376.127884615387</v>
      </c>
    </row>
    <row r="18" spans="1:11" s="37" customFormat="1" ht="16.5" customHeight="1">
      <c r="A18" s="224" t="s">
        <v>204</v>
      </c>
      <c r="B18" s="109"/>
      <c r="C18" s="111"/>
      <c r="D18" s="111"/>
      <c r="E18" s="111"/>
      <c r="F18" s="111"/>
      <c r="G18" s="330"/>
      <c r="H18" s="330"/>
      <c r="I18" s="330"/>
      <c r="J18" s="330"/>
      <c r="K18" s="331"/>
    </row>
    <row r="19" spans="1:11" s="53" customFormat="1" ht="16.5" customHeight="1">
      <c r="A19" s="462" t="s">
        <v>0</v>
      </c>
      <c r="B19" s="464" t="s">
        <v>35</v>
      </c>
      <c r="C19" s="466"/>
      <c r="D19" s="468" t="s">
        <v>88</v>
      </c>
      <c r="E19" s="445" t="s">
        <v>95</v>
      </c>
      <c r="F19" s="445" t="s">
        <v>76</v>
      </c>
      <c r="G19" s="447" t="s">
        <v>81</v>
      </c>
      <c r="H19" s="473" t="s">
        <v>137</v>
      </c>
      <c r="I19" s="474"/>
      <c r="J19" s="474"/>
      <c r="K19" s="444"/>
    </row>
    <row r="20" spans="1:11" s="53" customFormat="1" ht="16.5" customHeight="1">
      <c r="A20" s="463"/>
      <c r="B20" s="465"/>
      <c r="C20" s="467"/>
      <c r="D20" s="469"/>
      <c r="E20" s="446"/>
      <c r="F20" s="446"/>
      <c r="G20" s="448"/>
      <c r="H20" s="133" t="s">
        <v>64</v>
      </c>
      <c r="I20" s="133" t="s">
        <v>82</v>
      </c>
      <c r="J20" s="133" t="s">
        <v>83</v>
      </c>
      <c r="K20" s="133" t="s">
        <v>36</v>
      </c>
    </row>
    <row r="21" spans="1:11" s="37" customFormat="1" ht="16.5" customHeight="1">
      <c r="A21" s="143">
        <v>1</v>
      </c>
      <c r="B21" s="144" t="s">
        <v>106</v>
      </c>
      <c r="C21" s="144"/>
      <c r="D21" s="144" t="s">
        <v>77</v>
      </c>
      <c r="E21" s="145">
        <v>3000</v>
      </c>
      <c r="F21" s="143">
        <v>2</v>
      </c>
      <c r="G21" s="146">
        <f>E21*F21</f>
        <v>6000</v>
      </c>
      <c r="H21" s="146">
        <f aca="true" t="shared" si="0" ref="H21:J25">G21</f>
        <v>6000</v>
      </c>
      <c r="I21" s="146">
        <f t="shared" si="0"/>
        <v>6000</v>
      </c>
      <c r="J21" s="146">
        <f t="shared" si="0"/>
        <v>6000</v>
      </c>
      <c r="K21" s="146">
        <f>SUM(H21:J21)</f>
        <v>18000</v>
      </c>
    </row>
    <row r="22" spans="1:11" s="37" customFormat="1" ht="16.5" customHeight="1">
      <c r="A22" s="134">
        <v>2</v>
      </c>
      <c r="B22" s="118" t="s">
        <v>78</v>
      </c>
      <c r="C22" s="118"/>
      <c r="D22" s="118" t="s">
        <v>77</v>
      </c>
      <c r="E22" s="147">
        <v>3000</v>
      </c>
      <c r="F22" s="134">
        <v>5</v>
      </c>
      <c r="G22" s="148">
        <f aca="true" t="shared" si="1" ref="G22:G27">E22*F22</f>
        <v>15000</v>
      </c>
      <c r="H22" s="148">
        <f t="shared" si="0"/>
        <v>15000</v>
      </c>
      <c r="I22" s="148">
        <f t="shared" si="0"/>
        <v>15000</v>
      </c>
      <c r="J22" s="148">
        <f t="shared" si="0"/>
        <v>15000</v>
      </c>
      <c r="K22" s="148">
        <f aca="true" t="shared" si="2" ref="K22:K27">SUM(H22:J22)</f>
        <v>45000</v>
      </c>
    </row>
    <row r="23" spans="1:11" s="37" customFormat="1" ht="16.5" customHeight="1">
      <c r="A23" s="134">
        <v>3</v>
      </c>
      <c r="B23" s="118" t="s">
        <v>213</v>
      </c>
      <c r="C23" s="118"/>
      <c r="D23" s="118" t="s">
        <v>77</v>
      </c>
      <c r="E23" s="147">
        <v>10000</v>
      </c>
      <c r="F23" s="134">
        <v>5</v>
      </c>
      <c r="G23" s="148">
        <f t="shared" si="1"/>
        <v>50000</v>
      </c>
      <c r="H23" s="148">
        <f t="shared" si="0"/>
        <v>50000</v>
      </c>
      <c r="I23" s="148">
        <f t="shared" si="0"/>
        <v>50000</v>
      </c>
      <c r="J23" s="148">
        <f t="shared" si="0"/>
        <v>50000</v>
      </c>
      <c r="K23" s="148">
        <f t="shared" si="2"/>
        <v>150000</v>
      </c>
    </row>
    <row r="24" spans="1:11" s="37" customFormat="1" ht="16.5" customHeight="1">
      <c r="A24" s="134">
        <v>4</v>
      </c>
      <c r="B24" s="118" t="s">
        <v>107</v>
      </c>
      <c r="C24" s="118"/>
      <c r="D24" s="118" t="s">
        <v>79</v>
      </c>
      <c r="E24" s="147">
        <v>1500</v>
      </c>
      <c r="F24" s="134">
        <v>10</v>
      </c>
      <c r="G24" s="148">
        <f t="shared" si="1"/>
        <v>15000</v>
      </c>
      <c r="H24" s="148">
        <f t="shared" si="0"/>
        <v>15000</v>
      </c>
      <c r="I24" s="148">
        <f t="shared" si="0"/>
        <v>15000</v>
      </c>
      <c r="J24" s="148">
        <f t="shared" si="0"/>
        <v>15000</v>
      </c>
      <c r="K24" s="148">
        <f t="shared" si="2"/>
        <v>45000</v>
      </c>
    </row>
    <row r="25" spans="1:11" s="37" customFormat="1" ht="16.5" customHeight="1">
      <c r="A25" s="134">
        <v>5</v>
      </c>
      <c r="B25" s="118" t="s">
        <v>103</v>
      </c>
      <c r="C25" s="118"/>
      <c r="D25" s="118" t="s">
        <v>80</v>
      </c>
      <c r="E25" s="147">
        <v>2500</v>
      </c>
      <c r="F25" s="134">
        <v>30</v>
      </c>
      <c r="G25" s="148">
        <f t="shared" si="1"/>
        <v>75000</v>
      </c>
      <c r="H25" s="148">
        <f t="shared" si="0"/>
        <v>75000</v>
      </c>
      <c r="I25" s="148">
        <f t="shared" si="0"/>
        <v>75000</v>
      </c>
      <c r="J25" s="148">
        <f t="shared" si="0"/>
        <v>75000</v>
      </c>
      <c r="K25" s="148">
        <f t="shared" si="2"/>
        <v>225000</v>
      </c>
    </row>
    <row r="26" spans="1:11" s="37" customFormat="1" ht="16.5" customHeight="1">
      <c r="A26" s="134">
        <v>6</v>
      </c>
      <c r="B26" s="118" t="s">
        <v>104</v>
      </c>
      <c r="C26" s="118"/>
      <c r="D26" s="118" t="s">
        <v>97</v>
      </c>
      <c r="E26" s="147">
        <v>20000</v>
      </c>
      <c r="F26" s="134">
        <v>7</v>
      </c>
      <c r="G26" s="148">
        <f t="shared" si="1"/>
        <v>140000</v>
      </c>
      <c r="H26" s="148">
        <f aca="true" t="shared" si="3" ref="H26:J27">G26</f>
        <v>140000</v>
      </c>
      <c r="I26" s="148">
        <f t="shared" si="3"/>
        <v>140000</v>
      </c>
      <c r="J26" s="148">
        <f t="shared" si="3"/>
        <v>140000</v>
      </c>
      <c r="K26" s="148">
        <f t="shared" si="2"/>
        <v>420000</v>
      </c>
    </row>
    <row r="27" spans="1:11" s="37" customFormat="1" ht="16.5" customHeight="1">
      <c r="A27" s="334">
        <v>7</v>
      </c>
      <c r="B27" s="332" t="s">
        <v>105</v>
      </c>
      <c r="C27" s="332"/>
      <c r="D27" s="332" t="s">
        <v>97</v>
      </c>
      <c r="E27" s="333">
        <v>10000</v>
      </c>
      <c r="F27" s="334">
        <v>5</v>
      </c>
      <c r="G27" s="335">
        <f t="shared" si="1"/>
        <v>50000</v>
      </c>
      <c r="H27" s="335">
        <f t="shared" si="3"/>
        <v>50000</v>
      </c>
      <c r="I27" s="149">
        <f t="shared" si="3"/>
        <v>50000</v>
      </c>
      <c r="J27" s="149">
        <f t="shared" si="3"/>
        <v>50000</v>
      </c>
      <c r="K27" s="149">
        <f t="shared" si="2"/>
        <v>150000</v>
      </c>
    </row>
    <row r="28" spans="1:11" s="37" customFormat="1" ht="16.5" customHeight="1">
      <c r="A28" s="451" t="s">
        <v>138</v>
      </c>
      <c r="B28" s="430"/>
      <c r="C28" s="336"/>
      <c r="D28" s="336"/>
      <c r="E28" s="336"/>
      <c r="F28" s="119"/>
      <c r="G28" s="222">
        <f>SUM(G21:G27)</f>
        <v>351000</v>
      </c>
      <c r="H28" s="222">
        <f>SUM(H21:H27)</f>
        <v>351000</v>
      </c>
      <c r="I28" s="151">
        <f>SUM(I21:I27)</f>
        <v>351000</v>
      </c>
      <c r="J28" s="151">
        <f>SUM(J21:J27)</f>
        <v>351000</v>
      </c>
      <c r="K28" s="151">
        <f>SUM(K21:K27)</f>
        <v>1053000</v>
      </c>
    </row>
    <row r="29" spans="1:11" s="37" customFormat="1" ht="16.5" customHeight="1">
      <c r="A29" s="383" t="s">
        <v>84</v>
      </c>
      <c r="B29" s="384"/>
      <c r="C29" s="152"/>
      <c r="D29" s="152"/>
      <c r="E29" s="152"/>
      <c r="F29" s="153"/>
      <c r="G29" s="154">
        <f>G28/1000</f>
        <v>351</v>
      </c>
      <c r="H29" s="95">
        <f>H28/1000</f>
        <v>351</v>
      </c>
      <c r="I29" s="152">
        <f>I28/1000</f>
        <v>351</v>
      </c>
      <c r="J29" s="95">
        <f>J28/1000</f>
        <v>351</v>
      </c>
      <c r="K29" s="153">
        <f>K28/1000</f>
        <v>1053</v>
      </c>
    </row>
    <row r="30" spans="1:11" s="37" customFormat="1" ht="16.5" customHeight="1">
      <c r="A30" s="316"/>
      <c r="B30" s="317"/>
      <c r="C30" s="109"/>
      <c r="D30" s="109"/>
      <c r="E30" s="109"/>
      <c r="F30" s="109"/>
      <c r="G30" s="109"/>
      <c r="H30" s="109"/>
      <c r="I30" s="109"/>
      <c r="J30" s="109"/>
      <c r="K30" s="318"/>
    </row>
    <row r="31" spans="1:11" ht="16.5" customHeight="1">
      <c r="A31" s="44" t="s">
        <v>205</v>
      </c>
      <c r="B31" s="42"/>
      <c r="C31" s="42"/>
      <c r="D31" s="42"/>
      <c r="E31" s="42"/>
      <c r="F31" s="42"/>
      <c r="G31" s="43"/>
      <c r="H31" s="43"/>
      <c r="I31" s="103"/>
      <c r="J31" s="103"/>
      <c r="K31" s="103"/>
    </row>
    <row r="32" spans="1:11" ht="16.5" customHeight="1">
      <c r="A32" s="132"/>
      <c r="B32" s="126" t="s">
        <v>85</v>
      </c>
      <c r="C32" s="180" t="s">
        <v>66</v>
      </c>
      <c r="D32" s="180" t="s">
        <v>215</v>
      </c>
      <c r="E32" s="393" t="s">
        <v>70</v>
      </c>
      <c r="F32" s="236" t="s">
        <v>69</v>
      </c>
      <c r="G32" s="126" t="s">
        <v>72</v>
      </c>
      <c r="H32" s="419" t="s">
        <v>64</v>
      </c>
      <c r="I32" s="418" t="s">
        <v>65</v>
      </c>
      <c r="J32" s="420" t="s">
        <v>74</v>
      </c>
      <c r="K32" s="418" t="s">
        <v>73</v>
      </c>
    </row>
    <row r="33" spans="1:11" ht="16.5" customHeight="1">
      <c r="A33" s="185">
        <v>1</v>
      </c>
      <c r="B33" s="181" t="s">
        <v>214</v>
      </c>
      <c r="C33" s="182" t="s">
        <v>67</v>
      </c>
      <c r="D33" s="183">
        <v>1</v>
      </c>
      <c r="E33" s="182" t="s">
        <v>71</v>
      </c>
      <c r="F33" s="184">
        <f>2.2*8*1100</f>
        <v>19360</v>
      </c>
      <c r="G33" s="135">
        <f>F33/(7*4)</f>
        <v>691.4285714285714</v>
      </c>
      <c r="H33" s="136">
        <f>G33</f>
        <v>691.4285714285714</v>
      </c>
      <c r="I33" s="136">
        <f>H33</f>
        <v>691.4285714285714</v>
      </c>
      <c r="J33" s="136">
        <f>I33</f>
        <v>691.4285714285714</v>
      </c>
      <c r="K33" s="225">
        <f>SUM(H33:J33)</f>
        <v>2074.285714285714</v>
      </c>
    </row>
    <row r="34" spans="1:13" ht="16.5" customHeight="1">
      <c r="A34" s="12"/>
      <c r="B34" s="235" t="s">
        <v>73</v>
      </c>
      <c r="C34" s="100"/>
      <c r="D34" s="100"/>
      <c r="E34" s="100"/>
      <c r="F34" s="100"/>
      <c r="G34" s="137">
        <f>SUM(G33:G33)</f>
        <v>691.4285714285714</v>
      </c>
      <c r="H34" s="137">
        <f>SUM(H33:H33)</f>
        <v>691.4285714285714</v>
      </c>
      <c r="I34" s="138">
        <f>SUM(I33:I33)</f>
        <v>691.4285714285714</v>
      </c>
      <c r="J34" s="137">
        <f>I34</f>
        <v>691.4285714285714</v>
      </c>
      <c r="K34" s="392">
        <f>SUM(H34:J34)</f>
        <v>2074.285714285714</v>
      </c>
      <c r="M34" s="17">
        <f>M33*2</f>
        <v>0</v>
      </c>
    </row>
    <row r="35" spans="1:11" ht="16.5" customHeight="1">
      <c r="A35" s="47"/>
      <c r="B35" s="234"/>
      <c r="C35" s="319"/>
      <c r="D35" s="319"/>
      <c r="E35" s="319"/>
      <c r="F35" s="319"/>
      <c r="G35" s="320"/>
      <c r="H35" s="320"/>
      <c r="I35" s="320"/>
      <c r="J35" s="320"/>
      <c r="K35" s="321"/>
    </row>
    <row r="36" spans="1:11" ht="16.5" customHeight="1">
      <c r="A36" s="47"/>
      <c r="B36" s="234"/>
      <c r="C36" s="319"/>
      <c r="D36" s="319"/>
      <c r="E36" s="319"/>
      <c r="F36" s="319"/>
      <c r="G36" s="320"/>
      <c r="H36" s="320"/>
      <c r="I36" s="320"/>
      <c r="J36" s="320"/>
      <c r="K36" s="321"/>
    </row>
    <row r="37" spans="1:11" ht="16.5" customHeight="1">
      <c r="A37" s="47"/>
      <c r="B37" s="234"/>
      <c r="C37" s="319"/>
      <c r="D37" s="319"/>
      <c r="E37" s="319"/>
      <c r="F37" s="319"/>
      <c r="G37" s="320"/>
      <c r="H37" s="320"/>
      <c r="I37" s="320"/>
      <c r="J37" s="320"/>
      <c r="K37" s="321"/>
    </row>
    <row r="38" spans="1:11" ht="16.5" customHeight="1">
      <c r="A38" s="47"/>
      <c r="B38" s="234"/>
      <c r="C38" s="319"/>
      <c r="D38" s="319"/>
      <c r="E38" s="319"/>
      <c r="F38" s="319"/>
      <c r="G38" s="320"/>
      <c r="H38" s="320"/>
      <c r="I38" s="320"/>
      <c r="J38" s="320"/>
      <c r="K38" s="321"/>
    </row>
    <row r="39" spans="1:11" ht="16.5" customHeight="1">
      <c r="A39" s="47"/>
      <c r="B39" s="234"/>
      <c r="C39" s="319"/>
      <c r="D39" s="319"/>
      <c r="E39" s="319"/>
      <c r="F39" s="319"/>
      <c r="G39" s="320"/>
      <c r="H39" s="320"/>
      <c r="I39" s="320"/>
      <c r="J39" s="320"/>
      <c r="K39" s="321"/>
    </row>
    <row r="40" spans="1:11" ht="16.5" customHeight="1">
      <c r="A40" s="47"/>
      <c r="B40" s="234"/>
      <c r="C40" s="319"/>
      <c r="D40" s="319"/>
      <c r="E40" s="319"/>
      <c r="F40" s="319"/>
      <c r="G40" s="320"/>
      <c r="H40" s="320"/>
      <c r="I40" s="320"/>
      <c r="J40" s="320"/>
      <c r="K40" s="321"/>
    </row>
    <row r="41" spans="1:8" ht="16.5" customHeight="1">
      <c r="A41" s="40" t="s">
        <v>261</v>
      </c>
      <c r="B41" s="14"/>
      <c r="C41" s="14"/>
      <c r="D41" s="14"/>
      <c r="E41" s="14"/>
      <c r="F41" s="14"/>
      <c r="G41" s="15"/>
      <c r="H41" s="15"/>
    </row>
    <row r="42" spans="1:12" ht="45.75" customHeight="1">
      <c r="A42" s="186" t="s">
        <v>0</v>
      </c>
      <c r="B42" s="186" t="s">
        <v>26</v>
      </c>
      <c r="C42" s="187" t="s">
        <v>15</v>
      </c>
      <c r="D42" s="187" t="s">
        <v>16</v>
      </c>
      <c r="E42" s="434" t="s">
        <v>27</v>
      </c>
      <c r="F42" s="435"/>
      <c r="G42" s="187" t="s">
        <v>20</v>
      </c>
      <c r="H42" s="188" t="s">
        <v>21</v>
      </c>
      <c r="I42" s="128" t="s">
        <v>64</v>
      </c>
      <c r="J42" s="128" t="s">
        <v>65</v>
      </c>
      <c r="K42" s="128" t="s">
        <v>74</v>
      </c>
      <c r="L42" s="128" t="s">
        <v>73</v>
      </c>
    </row>
    <row r="43" spans="1:12" ht="16.5" customHeight="1">
      <c r="A43" s="226">
        <v>2.1</v>
      </c>
      <c r="B43" s="11" t="s">
        <v>24</v>
      </c>
      <c r="C43" s="12">
        <v>1</v>
      </c>
      <c r="D43" s="10">
        <v>1000000</v>
      </c>
      <c r="E43" s="470" t="s">
        <v>216</v>
      </c>
      <c r="F43" s="471"/>
      <c r="G43" s="10">
        <v>7</v>
      </c>
      <c r="H43" s="101">
        <f>(D43/(260*10))/7</f>
        <v>54.94505494505495</v>
      </c>
      <c r="I43" s="378">
        <f aca="true" t="shared" si="4" ref="I43:K45">H43</f>
        <v>54.94505494505495</v>
      </c>
      <c r="J43" s="378">
        <f t="shared" si="4"/>
        <v>54.94505494505495</v>
      </c>
      <c r="K43" s="378">
        <f t="shared" si="4"/>
        <v>54.94505494505495</v>
      </c>
      <c r="L43" s="379">
        <f>SUM(I43:K43)</f>
        <v>164.83516483516485</v>
      </c>
    </row>
    <row r="44" spans="1:12" ht="16.5" customHeight="1">
      <c r="A44" s="226" t="s">
        <v>11</v>
      </c>
      <c r="B44" s="11" t="s">
        <v>181</v>
      </c>
      <c r="C44" s="12">
        <v>1</v>
      </c>
      <c r="D44" s="10">
        <v>7000000</v>
      </c>
      <c r="E44" s="472" t="s">
        <v>217</v>
      </c>
      <c r="F44" s="472"/>
      <c r="G44" s="10">
        <v>28</v>
      </c>
      <c r="H44" s="101">
        <f>(D44/(260*10))/28</f>
        <v>96.15384615384616</v>
      </c>
      <c r="I44" s="381">
        <f t="shared" si="4"/>
        <v>96.15384615384616</v>
      </c>
      <c r="J44" s="381">
        <f t="shared" si="4"/>
        <v>96.15384615384616</v>
      </c>
      <c r="K44" s="381">
        <f t="shared" si="4"/>
        <v>96.15384615384616</v>
      </c>
      <c r="L44" s="382">
        <f>SUM(I44:K44)</f>
        <v>288.46153846153845</v>
      </c>
    </row>
    <row r="45" spans="1:12" ht="16.5" customHeight="1">
      <c r="A45" s="226">
        <v>2.3</v>
      </c>
      <c r="B45" s="11" t="s">
        <v>25</v>
      </c>
      <c r="C45" s="12">
        <v>1</v>
      </c>
      <c r="D45" s="10">
        <v>36000</v>
      </c>
      <c r="E45" s="470" t="s">
        <v>218</v>
      </c>
      <c r="F45" s="471"/>
      <c r="G45" s="10">
        <v>14</v>
      </c>
      <c r="H45" s="101">
        <f>(D45/(260*10))/14</f>
        <v>0.989010989010989</v>
      </c>
      <c r="I45" s="227">
        <f t="shared" si="4"/>
        <v>0.989010989010989</v>
      </c>
      <c r="J45" s="227">
        <f t="shared" si="4"/>
        <v>0.989010989010989</v>
      </c>
      <c r="K45" s="227">
        <f t="shared" si="4"/>
        <v>0.989010989010989</v>
      </c>
      <c r="L45" s="380">
        <f>SUM(I45:K45)</f>
        <v>2.967032967032967</v>
      </c>
    </row>
    <row r="46" spans="1:12" ht="16.5" customHeight="1">
      <c r="A46" s="449" t="s">
        <v>36</v>
      </c>
      <c r="B46" s="431"/>
      <c r="C46" s="450"/>
      <c r="D46" s="10"/>
      <c r="E46" s="101"/>
      <c r="F46" s="102"/>
      <c r="G46" s="10"/>
      <c r="H46" s="101">
        <f>SUM(H43:H45)</f>
        <v>152.0879120879121</v>
      </c>
      <c r="I46" s="101">
        <f>SUM(I43:I45)</f>
        <v>152.0879120879121</v>
      </c>
      <c r="J46" s="101">
        <f>SUM(J43:J45)</f>
        <v>152.0879120879121</v>
      </c>
      <c r="K46" s="189">
        <f>SUM(K43:K45)</f>
        <v>152.0879120879121</v>
      </c>
      <c r="L46" s="228">
        <f>SUM(I46:K46)</f>
        <v>456.2637362637363</v>
      </c>
    </row>
    <row r="47" spans="1:12" ht="16.5" customHeight="1">
      <c r="A47" s="51"/>
      <c r="B47" s="51"/>
      <c r="C47" s="51"/>
      <c r="D47" s="265"/>
      <c r="E47" s="48"/>
      <c r="F47" s="48"/>
      <c r="G47" s="48"/>
      <c r="H47" s="48"/>
      <c r="I47" s="48"/>
      <c r="J47" s="48"/>
      <c r="K47" s="258"/>
      <c r="L47" s="259"/>
    </row>
    <row r="48" spans="1:12" ht="16.5" customHeight="1">
      <c r="A48" s="433" t="s">
        <v>262</v>
      </c>
      <c r="B48" s="433"/>
      <c r="C48" s="433"/>
      <c r="D48" s="433"/>
      <c r="E48" s="433"/>
      <c r="F48" s="433"/>
      <c r="G48" s="48"/>
      <c r="H48" s="48"/>
      <c r="I48" s="48"/>
      <c r="J48" s="48"/>
      <c r="K48" s="258"/>
      <c r="L48" s="259"/>
    </row>
    <row r="49" spans="1:12" ht="15.75" customHeight="1">
      <c r="A49" s="187" t="s">
        <v>0</v>
      </c>
      <c r="B49" s="454" t="s">
        <v>110</v>
      </c>
      <c r="C49" s="431" t="s">
        <v>112</v>
      </c>
      <c r="D49" s="431"/>
      <c r="E49" s="439" t="s">
        <v>14</v>
      </c>
      <c r="F49" s="440"/>
      <c r="G49" s="48"/>
      <c r="H49" s="48"/>
      <c r="I49" s="48"/>
      <c r="J49" s="48"/>
      <c r="K49" s="258"/>
      <c r="L49" s="259"/>
    </row>
    <row r="50" spans="1:12" ht="15.75" customHeight="1">
      <c r="A50" s="262">
        <v>1</v>
      </c>
      <c r="B50" s="261" t="s">
        <v>154</v>
      </c>
      <c r="C50" s="432" t="s">
        <v>206</v>
      </c>
      <c r="D50" s="432"/>
      <c r="E50" s="470">
        <f>22/100*(L46+K34+K29+K17)</f>
        <v>4171.129013736264</v>
      </c>
      <c r="F50" s="471"/>
      <c r="G50" s="48"/>
      <c r="H50" s="48"/>
      <c r="I50" s="48"/>
      <c r="J50" s="48"/>
      <c r="K50" s="258"/>
      <c r="L50" s="259"/>
    </row>
    <row r="51" spans="1:12" ht="15" customHeight="1">
      <c r="A51" s="262">
        <v>2</v>
      </c>
      <c r="B51" s="261" t="s">
        <v>111</v>
      </c>
      <c r="C51" s="432" t="s">
        <v>207</v>
      </c>
      <c r="D51" s="432"/>
      <c r="E51" s="470">
        <f>2*17978/100</f>
        <v>359.56</v>
      </c>
      <c r="F51" s="471"/>
      <c r="G51" s="48"/>
      <c r="H51" s="48"/>
      <c r="I51" s="48"/>
      <c r="J51" s="48"/>
      <c r="K51" s="258"/>
      <c r="L51" s="259"/>
    </row>
    <row r="52" spans="1:12" ht="15" customHeight="1">
      <c r="A52" s="449" t="s">
        <v>7</v>
      </c>
      <c r="B52" s="431"/>
      <c r="C52" s="431"/>
      <c r="D52" s="450"/>
      <c r="E52" s="470">
        <f>SUM(E50:F51)</f>
        <v>4530.689013736264</v>
      </c>
      <c r="F52" s="471"/>
      <c r="G52" s="48"/>
      <c r="H52" s="48"/>
      <c r="I52" s="48"/>
      <c r="J52" s="48"/>
      <c r="K52" s="258"/>
      <c r="L52" s="259"/>
    </row>
    <row r="53" spans="1:12" ht="15" customHeight="1">
      <c r="A53" s="51"/>
      <c r="B53" s="51"/>
      <c r="C53" s="51"/>
      <c r="D53" s="51"/>
      <c r="E53" s="48"/>
      <c r="F53" s="48"/>
      <c r="G53" s="48"/>
      <c r="H53" s="48"/>
      <c r="I53" s="48"/>
      <c r="J53" s="48"/>
      <c r="K53" s="258"/>
      <c r="L53" s="259"/>
    </row>
    <row r="54" spans="1:12" ht="15" customHeight="1">
      <c r="A54" s="433" t="s">
        <v>120</v>
      </c>
      <c r="B54" s="433"/>
      <c r="C54" s="433"/>
      <c r="D54" s="433"/>
      <c r="E54" s="433"/>
      <c r="F54" s="433"/>
      <c r="G54" s="48"/>
      <c r="H54" s="48"/>
      <c r="I54" s="48"/>
      <c r="J54" s="48"/>
      <c r="K54" s="258"/>
      <c r="L54" s="259"/>
    </row>
    <row r="55" spans="1:12" ht="15" customHeight="1">
      <c r="A55" s="254" t="s">
        <v>0</v>
      </c>
      <c r="B55" s="268" t="s">
        <v>117</v>
      </c>
      <c r="C55" s="449" t="s">
        <v>69</v>
      </c>
      <c r="D55" s="450"/>
      <c r="E55" s="267" t="s">
        <v>60</v>
      </c>
      <c r="F55" s="266" t="s">
        <v>118</v>
      </c>
      <c r="G55" s="267" t="s">
        <v>119</v>
      </c>
      <c r="H55" s="48"/>
      <c r="I55" s="48"/>
      <c r="J55" s="48"/>
      <c r="K55" s="258"/>
      <c r="L55" s="259"/>
    </row>
    <row r="56" spans="1:12" ht="15" customHeight="1">
      <c r="A56" s="268" t="s">
        <v>18</v>
      </c>
      <c r="B56" s="269" t="s">
        <v>114</v>
      </c>
      <c r="C56" s="270">
        <f>K17</f>
        <v>15376.127884615387</v>
      </c>
      <c r="D56" s="257"/>
      <c r="E56" s="10">
        <f aca="true" t="shared" si="5" ref="E56:E61">C56/3</f>
        <v>5125.375961538462</v>
      </c>
      <c r="F56" s="10">
        <f aca="true" t="shared" si="6" ref="F56:F61">C56/3</f>
        <v>5125.375961538462</v>
      </c>
      <c r="G56" s="10">
        <f aca="true" t="shared" si="7" ref="G56:G61">C56/3</f>
        <v>5125.375961538462</v>
      </c>
      <c r="H56" s="48"/>
      <c r="I56" s="48"/>
      <c r="J56" s="48"/>
      <c r="K56" s="258"/>
      <c r="L56" s="259"/>
    </row>
    <row r="57" spans="1:12" ht="15" customHeight="1">
      <c r="A57" s="268" t="s">
        <v>75</v>
      </c>
      <c r="B57" s="269" t="s">
        <v>115</v>
      </c>
      <c r="C57" s="271">
        <f>K29</f>
        <v>1053</v>
      </c>
      <c r="D57" s="257"/>
      <c r="E57" s="10">
        <f t="shared" si="5"/>
        <v>351</v>
      </c>
      <c r="F57" s="10">
        <f t="shared" si="6"/>
        <v>351</v>
      </c>
      <c r="G57" s="10">
        <f t="shared" si="7"/>
        <v>351</v>
      </c>
      <c r="H57" s="48"/>
      <c r="I57" s="48"/>
      <c r="J57" s="48"/>
      <c r="K57" s="258"/>
      <c r="L57" s="259"/>
    </row>
    <row r="58" spans="1:12" ht="15" customHeight="1">
      <c r="A58" s="268" t="s">
        <v>113</v>
      </c>
      <c r="B58" s="269" t="s">
        <v>116</v>
      </c>
      <c r="C58" s="272">
        <f>K34</f>
        <v>2074.285714285714</v>
      </c>
      <c r="D58" s="257"/>
      <c r="E58" s="10">
        <f t="shared" si="5"/>
        <v>691.4285714285714</v>
      </c>
      <c r="F58" s="10">
        <f t="shared" si="6"/>
        <v>691.4285714285714</v>
      </c>
      <c r="G58" s="10">
        <f t="shared" si="7"/>
        <v>691.4285714285714</v>
      </c>
      <c r="H58" s="48"/>
      <c r="I58" s="48"/>
      <c r="J58" s="48"/>
      <c r="K58" s="258"/>
      <c r="L58" s="259"/>
    </row>
    <row r="59" spans="1:12" ht="15" customHeight="1">
      <c r="A59" s="268" t="s">
        <v>23</v>
      </c>
      <c r="B59" s="269" t="s">
        <v>221</v>
      </c>
      <c r="C59" s="272">
        <f>L46</f>
        <v>456.2637362637363</v>
      </c>
      <c r="D59" s="257"/>
      <c r="E59" s="10">
        <f t="shared" si="5"/>
        <v>152.0879120879121</v>
      </c>
      <c r="F59" s="10">
        <f t="shared" si="6"/>
        <v>152.0879120879121</v>
      </c>
      <c r="G59" s="10">
        <f t="shared" si="7"/>
        <v>152.0879120879121</v>
      </c>
      <c r="H59" s="48"/>
      <c r="I59" s="48"/>
      <c r="J59" s="48"/>
      <c r="K59" s="258"/>
      <c r="L59" s="259"/>
    </row>
    <row r="60" spans="1:12" ht="15" customHeight="1">
      <c r="A60" s="268" t="s">
        <v>109</v>
      </c>
      <c r="B60" s="269" t="s">
        <v>110</v>
      </c>
      <c r="C60" s="272">
        <f>E52</f>
        <v>4530.689013736264</v>
      </c>
      <c r="D60" s="257"/>
      <c r="E60" s="10">
        <f t="shared" si="5"/>
        <v>1510.2296712454215</v>
      </c>
      <c r="F60" s="10">
        <f t="shared" si="6"/>
        <v>1510.2296712454215</v>
      </c>
      <c r="G60" s="10">
        <f t="shared" si="7"/>
        <v>1510.2296712454215</v>
      </c>
      <c r="H60" s="48"/>
      <c r="I60" s="48"/>
      <c r="J60" s="48"/>
      <c r="K60" s="258"/>
      <c r="L60" s="259"/>
    </row>
    <row r="61" spans="1:12" ht="15" customHeight="1">
      <c r="A61" s="449" t="s">
        <v>7</v>
      </c>
      <c r="B61" s="450"/>
      <c r="C61" s="270">
        <f>SUM(C56:C60)</f>
        <v>23490.3663489011</v>
      </c>
      <c r="D61" s="257"/>
      <c r="E61" s="10">
        <f t="shared" si="5"/>
        <v>7830.122116300367</v>
      </c>
      <c r="F61" s="10">
        <f t="shared" si="6"/>
        <v>7830.122116300367</v>
      </c>
      <c r="G61" s="10">
        <f t="shared" si="7"/>
        <v>7830.122116300367</v>
      </c>
      <c r="H61" s="48"/>
      <c r="I61" s="48"/>
      <c r="J61" s="48"/>
      <c r="K61" s="258"/>
      <c r="L61" s="259"/>
    </row>
    <row r="62" spans="1:12" ht="15" customHeight="1">
      <c r="A62" s="322"/>
      <c r="B62" s="322"/>
      <c r="C62" s="323"/>
      <c r="D62" s="51"/>
      <c r="E62" s="48"/>
      <c r="F62" s="48"/>
      <c r="G62" s="48"/>
      <c r="H62" s="48"/>
      <c r="I62" s="48"/>
      <c r="J62" s="48"/>
      <c r="K62" s="258"/>
      <c r="L62" s="259"/>
    </row>
    <row r="63" spans="1:12" ht="15" customHeight="1">
      <c r="A63" s="322"/>
      <c r="B63" s="322"/>
      <c r="C63" s="323"/>
      <c r="D63" s="51"/>
      <c r="E63" s="48"/>
      <c r="F63" s="48"/>
      <c r="G63" s="48"/>
      <c r="H63" s="48"/>
      <c r="I63" s="48"/>
      <c r="J63" s="48"/>
      <c r="K63" s="258"/>
      <c r="L63" s="259"/>
    </row>
    <row r="64" spans="1:10" s="37" customFormat="1" ht="15" customHeight="1">
      <c r="A64" s="316" t="s">
        <v>166</v>
      </c>
      <c r="B64" s="18"/>
      <c r="C64" s="18"/>
      <c r="D64" s="18"/>
      <c r="E64" s="18"/>
      <c r="F64" s="18"/>
      <c r="G64" s="19"/>
      <c r="I64" s="308">
        <f>K17+K29+K34+L46+E52</f>
        <v>23490.3663489011</v>
      </c>
      <c r="J64" s="37" t="s">
        <v>87</v>
      </c>
    </row>
    <row r="65" s="37" customFormat="1" ht="14.25">
      <c r="A65" s="55"/>
    </row>
    <row r="66" spans="1:9" s="37" customFormat="1" ht="14.25">
      <c r="A66" s="55"/>
      <c r="I66" s="260"/>
    </row>
  </sheetData>
  <mergeCells count="30">
    <mergeCell ref="A2:L2"/>
    <mergeCell ref="A3:L3"/>
    <mergeCell ref="A1:L1"/>
    <mergeCell ref="A54:F54"/>
    <mergeCell ref="E49:F49"/>
    <mergeCell ref="E51:F51"/>
    <mergeCell ref="E52:F52"/>
    <mergeCell ref="E50:F50"/>
    <mergeCell ref="A6:H6"/>
    <mergeCell ref="E45:F45"/>
    <mergeCell ref="C55:D55"/>
    <mergeCell ref="A61:B61"/>
    <mergeCell ref="A28:B28"/>
    <mergeCell ref="C49:D49"/>
    <mergeCell ref="A52:D52"/>
    <mergeCell ref="C50:D50"/>
    <mergeCell ref="C51:D51"/>
    <mergeCell ref="A46:C46"/>
    <mergeCell ref="A48:F48"/>
    <mergeCell ref="E42:F42"/>
    <mergeCell ref="E43:F43"/>
    <mergeCell ref="E44:F44"/>
    <mergeCell ref="H19:K19"/>
    <mergeCell ref="E19:E20"/>
    <mergeCell ref="F19:F20"/>
    <mergeCell ref="G19:G20"/>
    <mergeCell ref="A19:A20"/>
    <mergeCell ref="B19:B20"/>
    <mergeCell ref="C19:C20"/>
    <mergeCell ref="D19:D20"/>
  </mergeCells>
  <printOptions horizontalCentered="1"/>
  <pageMargins left="0.97" right="0.03937007874015748" top="1.07" bottom="0.2362204724409449" header="0.24" footer="0.2362204724409449"/>
  <pageSetup horizontalDpi="180" verticalDpi="180" orientation="landscape" paperSize="9" scale="85" r:id="rId2"/>
  <headerFooter alignWithMargins="0">
    <oddFooter>&amp;C
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workbookViewId="0" topLeftCell="A1">
      <selection activeCell="B28" sqref="B28:F28"/>
    </sheetView>
  </sheetViews>
  <sheetFormatPr defaultColWidth="8.88671875" defaultRowHeight="18.75"/>
  <cols>
    <col min="1" max="1" width="6.4453125" style="116" customWidth="1"/>
    <col min="2" max="2" width="20.21484375" style="17" customWidth="1"/>
    <col min="3" max="3" width="8.5546875" style="17" customWidth="1"/>
    <col min="4" max="4" width="6.77734375" style="17" customWidth="1"/>
    <col min="5" max="5" width="7.99609375" style="17" customWidth="1"/>
    <col min="6" max="6" width="5.5546875" style="17" customWidth="1"/>
    <col min="7" max="7" width="5.21484375" style="17" customWidth="1"/>
    <col min="8" max="8" width="6.21484375" style="17" customWidth="1"/>
    <col min="9" max="9" width="7.5546875" style="17" customWidth="1"/>
    <col min="10" max="10" width="6.88671875" style="17" bestFit="1" customWidth="1"/>
    <col min="11" max="11" width="12.77734375" style="17" customWidth="1"/>
    <col min="12" max="16" width="8.88671875" style="17" customWidth="1"/>
    <col min="17" max="17" width="14.4453125" style="17" customWidth="1"/>
    <col min="18" max="18" width="8.88671875" style="17" customWidth="1"/>
    <col min="19" max="19" width="3.3359375" style="17" customWidth="1"/>
    <col min="20" max="20" width="8.88671875" style="17" customWidth="1"/>
    <col min="21" max="21" width="3.4453125" style="17" customWidth="1"/>
    <col min="22" max="16384" width="8.88671875" style="17" customWidth="1"/>
  </cols>
  <sheetData>
    <row r="1" spans="1:11" s="99" customFormat="1" ht="19.5">
      <c r="A1" s="477" t="s">
        <v>220</v>
      </c>
      <c r="B1" s="477"/>
      <c r="C1" s="477"/>
      <c r="D1" s="477"/>
      <c r="E1" s="477"/>
      <c r="F1" s="477"/>
      <c r="G1" s="477"/>
      <c r="H1" s="477"/>
      <c r="I1" s="477"/>
      <c r="J1" s="36"/>
      <c r="K1" s="36"/>
    </row>
    <row r="2" spans="1:9" s="99" customFormat="1" ht="19.5">
      <c r="A2" s="482" t="s">
        <v>167</v>
      </c>
      <c r="B2" s="482"/>
      <c r="C2" s="482"/>
      <c r="D2" s="482"/>
      <c r="E2" s="482"/>
      <c r="F2" s="482"/>
      <c r="G2" s="482"/>
      <c r="H2" s="482"/>
      <c r="I2" s="482"/>
    </row>
    <row r="3" spans="1:9" s="99" customFormat="1" ht="19.5">
      <c r="A3" s="482" t="s">
        <v>170</v>
      </c>
      <c r="B3" s="482"/>
      <c r="C3" s="482"/>
      <c r="D3" s="482"/>
      <c r="E3" s="482"/>
      <c r="F3" s="482"/>
      <c r="G3" s="482"/>
      <c r="H3" s="482"/>
      <c r="I3" s="482"/>
    </row>
    <row r="4" spans="1:9" s="99" customFormat="1" ht="19.5">
      <c r="A4" s="482"/>
      <c r="B4" s="482"/>
      <c r="C4" s="482"/>
      <c r="D4" s="482"/>
      <c r="E4" s="482"/>
      <c r="F4" s="482"/>
      <c r="G4" s="482"/>
      <c r="H4" s="482"/>
      <c r="I4" s="482"/>
    </row>
    <row r="5" spans="1:9" s="99" customFormat="1" ht="37.5" customHeight="1">
      <c r="A5" s="476" t="s">
        <v>89</v>
      </c>
      <c r="B5" s="476"/>
      <c r="C5" s="476"/>
      <c r="D5" s="476"/>
      <c r="E5" s="476"/>
      <c r="F5" s="476"/>
      <c r="G5" s="476"/>
      <c r="H5" s="476"/>
      <c r="I5" s="476"/>
    </row>
    <row r="6" spans="1:8" ht="19.5">
      <c r="A6" s="475" t="s">
        <v>171</v>
      </c>
      <c r="B6" s="475"/>
      <c r="C6" s="475"/>
      <c r="D6" s="475"/>
      <c r="E6" s="475"/>
      <c r="F6" s="475"/>
      <c r="G6" s="475"/>
      <c r="H6" s="475"/>
    </row>
    <row r="7" spans="1:9" s="99" customFormat="1" ht="19.5">
      <c r="A7" s="97"/>
      <c r="C7" s="455" t="s">
        <v>86</v>
      </c>
      <c r="E7" s="53"/>
      <c r="F7" s="53"/>
      <c r="G7" s="103"/>
      <c r="H7" s="390" t="s">
        <v>165</v>
      </c>
      <c r="I7" s="391"/>
    </row>
    <row r="8" spans="1:6" s="99" customFormat="1" ht="18.75" customHeight="1">
      <c r="A8" s="36" t="s">
        <v>172</v>
      </c>
      <c r="D8" s="37"/>
      <c r="E8" s="37"/>
      <c r="F8" s="37"/>
    </row>
    <row r="9" spans="1:9" s="104" customFormat="1" ht="36.75" customHeight="1">
      <c r="A9" s="174" t="s">
        <v>173</v>
      </c>
      <c r="B9" s="174" t="s">
        <v>139</v>
      </c>
      <c r="C9" s="175" t="s">
        <v>31</v>
      </c>
      <c r="D9" s="175" t="s">
        <v>132</v>
      </c>
      <c r="E9" s="176" t="s">
        <v>133</v>
      </c>
      <c r="F9" s="155" t="s">
        <v>64</v>
      </c>
      <c r="G9" s="156" t="s">
        <v>65</v>
      </c>
      <c r="H9" s="156" t="s">
        <v>83</v>
      </c>
      <c r="I9" s="140" t="s">
        <v>37</v>
      </c>
    </row>
    <row r="10" spans="1:14" s="37" customFormat="1" ht="14.25">
      <c r="A10" s="12">
        <v>1</v>
      </c>
      <c r="B10" s="139" t="s">
        <v>28</v>
      </c>
      <c r="C10" s="293" t="s">
        <v>100</v>
      </c>
      <c r="D10" s="96">
        <v>0.016</v>
      </c>
      <c r="E10" s="290">
        <f>'B1.Luong noi.n'!$L$22*D10</f>
        <v>984.0721846153847</v>
      </c>
      <c r="F10" s="291">
        <f>E10</f>
        <v>984.0721846153847</v>
      </c>
      <c r="G10" s="291">
        <f>E10</f>
        <v>984.0721846153847</v>
      </c>
      <c r="H10" s="291">
        <f>F10</f>
        <v>984.0721846153847</v>
      </c>
      <c r="I10" s="287">
        <f>SUM(F10:H10)</f>
        <v>2952.216553846154</v>
      </c>
      <c r="J10" s="94"/>
      <c r="K10" s="94"/>
      <c r="L10" s="94"/>
      <c r="M10" s="94"/>
      <c r="N10" s="63"/>
    </row>
    <row r="11" spans="1:14" s="37" customFormat="1" ht="14.25">
      <c r="A11" s="12">
        <v>2</v>
      </c>
      <c r="B11" s="139" t="s">
        <v>123</v>
      </c>
      <c r="C11" s="293" t="s">
        <v>122</v>
      </c>
      <c r="D11" s="105">
        <v>0.019</v>
      </c>
      <c r="E11" s="290">
        <f>'B1.Luong noi.n'!$L$22*D11</f>
        <v>1168.5857192307692</v>
      </c>
      <c r="F11" s="291"/>
      <c r="G11" s="291">
        <f>E11</f>
        <v>1168.5857192307692</v>
      </c>
      <c r="H11" s="291"/>
      <c r="I11" s="195">
        <f>SUM(F11:H11)</f>
        <v>1168.5857192307692</v>
      </c>
      <c r="J11" s="94"/>
      <c r="K11" s="94"/>
      <c r="L11" s="94"/>
      <c r="M11" s="94"/>
      <c r="N11" s="63"/>
    </row>
    <row r="12" spans="1:14" s="37" customFormat="1" ht="14.25">
      <c r="A12" s="12">
        <v>3</v>
      </c>
      <c r="B12" s="139" t="s">
        <v>29</v>
      </c>
      <c r="C12" s="293" t="s">
        <v>101</v>
      </c>
      <c r="D12" s="105">
        <v>0.059</v>
      </c>
      <c r="E12" s="290">
        <f>'B1.Luong noi.n'!$L$22*D12</f>
        <v>3628.7661807692307</v>
      </c>
      <c r="F12" s="190">
        <f aca="true" t="shared" si="0" ref="F12:G14">E12</f>
        <v>3628.7661807692307</v>
      </c>
      <c r="G12" s="190">
        <f t="shared" si="0"/>
        <v>3628.7661807692307</v>
      </c>
      <c r="H12" s="190">
        <f>E12</f>
        <v>3628.7661807692307</v>
      </c>
      <c r="I12" s="195">
        <f>SUM(F12:H12)</f>
        <v>10886.298542307692</v>
      </c>
      <c r="J12" s="94"/>
      <c r="K12" s="94"/>
      <c r="L12" s="94"/>
      <c r="M12" s="94"/>
      <c r="N12" s="63"/>
    </row>
    <row r="13" spans="1:14" s="37" customFormat="1" ht="14.25">
      <c r="A13" s="12">
        <v>4</v>
      </c>
      <c r="B13" s="139" t="s">
        <v>30</v>
      </c>
      <c r="C13" s="293" t="s">
        <v>124</v>
      </c>
      <c r="D13" s="105">
        <v>0.02</v>
      </c>
      <c r="E13" s="290">
        <f>'B1.Luong noi.n'!$L$22*D13</f>
        <v>1230.0902307692309</v>
      </c>
      <c r="F13" s="190">
        <f t="shared" si="0"/>
        <v>1230.0902307692309</v>
      </c>
      <c r="G13" s="190">
        <f t="shared" si="0"/>
        <v>1230.0902307692309</v>
      </c>
      <c r="H13" s="190">
        <f>G13</f>
        <v>1230.0902307692309</v>
      </c>
      <c r="I13" s="195">
        <f>SUM(F13:H13)</f>
        <v>3690.2706923076926</v>
      </c>
      <c r="J13" s="94"/>
      <c r="K13" s="94"/>
      <c r="L13" s="94"/>
      <c r="M13" s="94"/>
      <c r="N13" s="63"/>
    </row>
    <row r="14" spans="1:14" s="37" customFormat="1" ht="14.25">
      <c r="A14" s="12">
        <v>5</v>
      </c>
      <c r="B14" s="139" t="s">
        <v>45</v>
      </c>
      <c r="C14" s="293" t="s">
        <v>124</v>
      </c>
      <c r="D14" s="105">
        <v>0.032</v>
      </c>
      <c r="E14" s="290">
        <f>'B1.Luong noi.n'!$L$22*D14</f>
        <v>1968.1443692307694</v>
      </c>
      <c r="F14" s="292">
        <f t="shared" si="0"/>
        <v>1968.1443692307694</v>
      </c>
      <c r="G14" s="292">
        <f t="shared" si="0"/>
        <v>1968.1443692307694</v>
      </c>
      <c r="H14" s="292">
        <f>G14</f>
        <v>1968.1443692307694</v>
      </c>
      <c r="I14" s="288">
        <f>SUM(F14:H14)</f>
        <v>5904.433107692308</v>
      </c>
      <c r="J14" s="94"/>
      <c r="K14" s="94"/>
      <c r="L14" s="94"/>
      <c r="M14" s="94"/>
      <c r="N14" s="63"/>
    </row>
    <row r="15" spans="1:14" s="108" customFormat="1" ht="15.75">
      <c r="A15" s="478" t="s">
        <v>36</v>
      </c>
      <c r="B15" s="479"/>
      <c r="C15" s="178"/>
      <c r="D15" s="178"/>
      <c r="E15" s="142">
        <f>SUM(E10:E14)</f>
        <v>8979.658684615384</v>
      </c>
      <c r="F15" s="142">
        <f>SUM(F10:F14)</f>
        <v>7811.072965384616</v>
      </c>
      <c r="G15" s="142">
        <f>SUM(G10:G14)</f>
        <v>8979.658684615384</v>
      </c>
      <c r="H15" s="142">
        <f>SUM(H10:H14)</f>
        <v>7811.072965384616</v>
      </c>
      <c r="I15" s="289">
        <f>SUM(I10:I14)</f>
        <v>24601.804615384615</v>
      </c>
      <c r="J15" s="106"/>
      <c r="K15" s="106"/>
      <c r="L15" s="106"/>
      <c r="M15" s="106"/>
      <c r="N15" s="107"/>
    </row>
    <row r="16" spans="1:14" s="37" customFormat="1" ht="15.75">
      <c r="A16" s="47"/>
      <c r="B16" s="109"/>
      <c r="C16" s="110"/>
      <c r="D16" s="110"/>
      <c r="E16" s="111"/>
      <c r="F16" s="111"/>
      <c r="G16" s="111"/>
      <c r="H16" s="112"/>
      <c r="I16" s="94"/>
      <c r="J16" s="94"/>
      <c r="K16" s="94"/>
      <c r="L16" s="94"/>
      <c r="M16" s="94"/>
      <c r="N16" s="63"/>
    </row>
    <row r="17" spans="1:22" s="53" customFormat="1" ht="18">
      <c r="A17" s="224" t="s">
        <v>174</v>
      </c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</row>
    <row r="18" spans="1:22" s="113" customFormat="1" ht="44.25">
      <c r="A18" s="187" t="s">
        <v>39</v>
      </c>
      <c r="B18" s="434" t="s">
        <v>188</v>
      </c>
      <c r="C18" s="480"/>
      <c r="D18" s="481"/>
      <c r="E18" s="256" t="s">
        <v>219</v>
      </c>
      <c r="F18" s="256" t="s">
        <v>149</v>
      </c>
      <c r="G18" s="256" t="s">
        <v>150</v>
      </c>
      <c r="H18" s="187" t="s">
        <v>37</v>
      </c>
      <c r="I18" s="77"/>
      <c r="J18" s="77"/>
      <c r="K18" s="77"/>
      <c r="L18" s="77"/>
      <c r="M18" s="77"/>
      <c r="N18" s="77"/>
      <c r="O18" s="77"/>
      <c r="P18" s="337"/>
      <c r="Q18" s="77"/>
      <c r="R18" s="429"/>
      <c r="S18" s="429"/>
      <c r="T18" s="429"/>
      <c r="U18" s="429"/>
      <c r="V18" s="77"/>
    </row>
    <row r="19" spans="1:22" ht="18" customHeight="1">
      <c r="A19" s="165">
        <v>1</v>
      </c>
      <c r="B19" s="442" t="s">
        <v>35</v>
      </c>
      <c r="C19" s="442"/>
      <c r="D19" s="443"/>
      <c r="E19" s="166">
        <v>451</v>
      </c>
      <c r="F19" s="166">
        <v>451</v>
      </c>
      <c r="G19" s="166">
        <v>451</v>
      </c>
      <c r="H19" s="166">
        <f>SUM(E19:G19)</f>
        <v>1353</v>
      </c>
      <c r="I19" s="114"/>
      <c r="J19" s="114"/>
      <c r="K19" s="109"/>
      <c r="L19" s="109"/>
      <c r="M19" s="337"/>
      <c r="N19" s="109"/>
      <c r="O19" s="109"/>
      <c r="P19" s="114"/>
      <c r="Q19" s="109"/>
      <c r="R19" s="109"/>
      <c r="S19" s="337"/>
      <c r="T19" s="109"/>
      <c r="U19" s="109"/>
      <c r="V19" s="109"/>
    </row>
    <row r="20" spans="1:22" ht="18" customHeight="1">
      <c r="A20" s="79">
        <v>2</v>
      </c>
      <c r="B20" s="421" t="s">
        <v>151</v>
      </c>
      <c r="C20" s="421"/>
      <c r="D20" s="422"/>
      <c r="E20" s="169">
        <v>501</v>
      </c>
      <c r="F20" s="169">
        <v>501</v>
      </c>
      <c r="G20" s="169">
        <v>501</v>
      </c>
      <c r="H20" s="169">
        <f>SUM(E20:G20)</f>
        <v>1503</v>
      </c>
      <c r="I20" s="48"/>
      <c r="J20" s="48"/>
      <c r="K20" s="109"/>
      <c r="L20" s="109"/>
      <c r="M20" s="337"/>
      <c r="N20" s="109"/>
      <c r="O20" s="109"/>
      <c r="P20" s="114"/>
      <c r="Q20" s="109"/>
      <c r="R20" s="109"/>
      <c r="S20" s="337"/>
      <c r="T20" s="109"/>
      <c r="U20" s="109"/>
      <c r="V20" s="109"/>
    </row>
    <row r="21" spans="1:22" ht="18" customHeight="1">
      <c r="A21" s="79">
        <v>3</v>
      </c>
      <c r="B21" s="421" t="s">
        <v>38</v>
      </c>
      <c r="C21" s="421"/>
      <c r="D21" s="422"/>
      <c r="E21" s="169">
        <v>57</v>
      </c>
      <c r="F21" s="169">
        <v>57</v>
      </c>
      <c r="G21" s="169">
        <v>57</v>
      </c>
      <c r="H21" s="169">
        <f>SUM(E21:G21)</f>
        <v>171</v>
      </c>
      <c r="J21" s="115"/>
      <c r="K21" s="109"/>
      <c r="L21" s="109"/>
      <c r="M21" s="337"/>
      <c r="N21" s="109"/>
      <c r="O21" s="109"/>
      <c r="P21" s="114"/>
      <c r="Q21" s="109"/>
      <c r="R21" s="109"/>
      <c r="S21" s="337"/>
      <c r="T21" s="109"/>
      <c r="U21" s="109"/>
      <c r="V21" s="109"/>
    </row>
    <row r="22" spans="1:22" ht="18" customHeight="1">
      <c r="A22" s="79">
        <v>4</v>
      </c>
      <c r="B22" s="167" t="s">
        <v>152</v>
      </c>
      <c r="C22" s="167"/>
      <c r="D22" s="168"/>
      <c r="E22" s="169" t="e">
        <f>SUM(E23:E25)</f>
        <v>#REF!</v>
      </c>
      <c r="F22" s="169" t="e">
        <f>SUM(F23:F25)</f>
        <v>#REF!</v>
      </c>
      <c r="G22" s="169" t="e">
        <f>SUM(G23:G25)</f>
        <v>#REF!</v>
      </c>
      <c r="H22" s="169" t="e">
        <f>SUM(H23:H25)</f>
        <v>#REF!</v>
      </c>
      <c r="J22" s="115"/>
      <c r="K22" s="109"/>
      <c r="L22" s="109"/>
      <c r="M22" s="337"/>
      <c r="N22" s="109"/>
      <c r="O22" s="109"/>
      <c r="P22" s="114"/>
      <c r="Q22" s="109"/>
      <c r="R22" s="109"/>
      <c r="S22" s="337"/>
      <c r="T22" s="109"/>
      <c r="U22" s="109"/>
      <c r="V22" s="109"/>
    </row>
    <row r="23" spans="1:22" ht="18" customHeight="1">
      <c r="A23" s="79"/>
      <c r="B23" s="167" t="s">
        <v>257</v>
      </c>
      <c r="C23" s="167"/>
      <c r="D23" s="168"/>
      <c r="E23" s="169">
        <v>500</v>
      </c>
      <c r="F23" s="169">
        <v>500</v>
      </c>
      <c r="G23" s="169">
        <v>500</v>
      </c>
      <c r="H23" s="169">
        <f>SUM(E23:G23)</f>
        <v>1500</v>
      </c>
      <c r="J23" s="115"/>
      <c r="K23" s="109"/>
      <c r="L23" s="109"/>
      <c r="M23" s="337"/>
      <c r="N23" s="109"/>
      <c r="O23" s="109"/>
      <c r="P23" s="114"/>
      <c r="Q23" s="109"/>
      <c r="R23" s="109"/>
      <c r="S23" s="337"/>
      <c r="T23" s="109"/>
      <c r="U23" s="109"/>
      <c r="V23" s="109"/>
    </row>
    <row r="24" spans="1:22" ht="18" customHeight="1">
      <c r="A24" s="79"/>
      <c r="B24" s="167" t="s">
        <v>259</v>
      </c>
      <c r="C24" s="167"/>
      <c r="D24" s="168"/>
      <c r="E24" s="169">
        <v>1000</v>
      </c>
      <c r="F24" s="169">
        <v>1000</v>
      </c>
      <c r="G24" s="169">
        <v>1000</v>
      </c>
      <c r="H24" s="169">
        <f>SUM(E24:G24)</f>
        <v>3000</v>
      </c>
      <c r="J24" s="115"/>
      <c r="K24" s="109"/>
      <c r="L24" s="109"/>
      <c r="M24" s="337"/>
      <c r="N24" s="109"/>
      <c r="O24" s="109"/>
      <c r="P24" s="114"/>
      <c r="Q24" s="109"/>
      <c r="R24" s="109"/>
      <c r="S24" s="337"/>
      <c r="T24" s="109"/>
      <c r="U24" s="109"/>
      <c r="V24" s="109"/>
    </row>
    <row r="25" spans="1:22" ht="18" customHeight="1">
      <c r="A25" s="170"/>
      <c r="B25" s="171" t="s">
        <v>258</v>
      </c>
      <c r="C25" s="171"/>
      <c r="D25" s="172"/>
      <c r="E25" s="173" t="e">
        <f>#REF!/40</f>
        <v>#REF!</v>
      </c>
      <c r="F25" s="173" t="e">
        <f>#REF!/40</f>
        <v>#REF!</v>
      </c>
      <c r="G25" s="173" t="e">
        <f>#REF!/40</f>
        <v>#REF!</v>
      </c>
      <c r="H25" s="173" t="e">
        <f>SUM(E25:G25)</f>
        <v>#REF!</v>
      </c>
      <c r="J25" s="115"/>
      <c r="K25" s="109"/>
      <c r="L25" s="109"/>
      <c r="M25" s="337"/>
      <c r="N25" s="109"/>
      <c r="O25" s="109"/>
      <c r="P25" s="114"/>
      <c r="Q25" s="109"/>
      <c r="R25" s="109"/>
      <c r="S25" s="337"/>
      <c r="T25" s="109"/>
      <c r="U25" s="109"/>
      <c r="V25" s="109"/>
    </row>
    <row r="26" spans="1:22" ht="19.5">
      <c r="A26" s="423" t="s">
        <v>222</v>
      </c>
      <c r="B26" s="424"/>
      <c r="C26" s="424"/>
      <c r="D26" s="425"/>
      <c r="E26" s="324" t="e">
        <f>SUM(E19:E22)</f>
        <v>#REF!</v>
      </c>
      <c r="F26" s="324" t="e">
        <f>SUM(F19:F22)</f>
        <v>#REF!</v>
      </c>
      <c r="G26" s="324" t="e">
        <f>SUM(G19:G22)</f>
        <v>#REF!</v>
      </c>
      <c r="H26" s="324" t="e">
        <f>SUM(H19:H22)</f>
        <v>#REF!</v>
      </c>
      <c r="K26" s="109"/>
      <c r="L26" s="109"/>
      <c r="M26" s="337"/>
      <c r="N26" s="109"/>
      <c r="O26" s="109"/>
      <c r="P26" s="114"/>
      <c r="Q26" s="109"/>
      <c r="R26" s="109"/>
      <c r="S26" s="337"/>
      <c r="T26" s="109"/>
      <c r="U26" s="109"/>
      <c r="V26" s="109"/>
    </row>
    <row r="27" spans="1:22" ht="20.25" customHeight="1">
      <c r="A27" s="29"/>
      <c r="B27" s="14"/>
      <c r="C27" s="14"/>
      <c r="D27" s="14"/>
      <c r="E27" s="14"/>
      <c r="F27" s="14"/>
      <c r="G27" s="15"/>
      <c r="H27" s="15"/>
      <c r="K27" s="109"/>
      <c r="L27" s="109"/>
      <c r="M27" s="337"/>
      <c r="N27" s="109"/>
      <c r="O27" s="109"/>
      <c r="P27" s="114"/>
      <c r="Q27" s="109"/>
      <c r="R27" s="109"/>
      <c r="S27" s="337"/>
      <c r="T27" s="109"/>
      <c r="U27" s="109"/>
      <c r="V27" s="109"/>
    </row>
    <row r="28" spans="1:22" ht="19.5" customHeight="1">
      <c r="A28" s="264" t="s">
        <v>62</v>
      </c>
      <c r="B28" s="426" t="s">
        <v>260</v>
      </c>
      <c r="C28" s="427"/>
      <c r="D28" s="427"/>
      <c r="E28" s="427"/>
      <c r="F28" s="428"/>
      <c r="G28" s="114"/>
      <c r="H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t="19.5">
      <c r="A29" s="254" t="s">
        <v>0</v>
      </c>
      <c r="B29" s="263" t="s">
        <v>110</v>
      </c>
      <c r="C29" s="431" t="s">
        <v>112</v>
      </c>
      <c r="D29" s="431"/>
      <c r="E29" s="439" t="s">
        <v>14</v>
      </c>
      <c r="F29" s="440"/>
      <c r="G29" s="114"/>
      <c r="H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1:8" ht="19.5">
      <c r="A30" s="262">
        <v>1</v>
      </c>
      <c r="B30" s="263" t="s">
        <v>154</v>
      </c>
      <c r="C30" s="432" t="s">
        <v>175</v>
      </c>
      <c r="D30" s="432"/>
      <c r="E30" s="470">
        <f>22/100*30313</f>
        <v>6668.86</v>
      </c>
      <c r="F30" s="471"/>
      <c r="G30" s="114"/>
      <c r="H30" s="114"/>
    </row>
    <row r="31" spans="1:8" ht="19.5">
      <c r="A31" s="262">
        <v>2</v>
      </c>
      <c r="B31" s="263" t="s">
        <v>111</v>
      </c>
      <c r="C31" s="432" t="s">
        <v>176</v>
      </c>
      <c r="D31" s="432"/>
      <c r="E31" s="470">
        <f>2*30313/100</f>
        <v>606.26</v>
      </c>
      <c r="F31" s="471"/>
      <c r="G31" s="114"/>
      <c r="H31" s="114"/>
    </row>
    <row r="32" spans="1:6" ht="19.5">
      <c r="A32" s="449" t="s">
        <v>7</v>
      </c>
      <c r="B32" s="431"/>
      <c r="C32" s="431"/>
      <c r="D32" s="450"/>
      <c r="E32" s="470">
        <f>SUM(E30:F31)</f>
        <v>7275.12</v>
      </c>
      <c r="F32" s="471"/>
    </row>
    <row r="33" spans="1:7" ht="19.5">
      <c r="A33" s="433" t="s">
        <v>121</v>
      </c>
      <c r="B33" s="433"/>
      <c r="C33" s="433"/>
      <c r="D33" s="433"/>
      <c r="E33" s="433"/>
      <c r="F33" s="433"/>
      <c r="G33" s="48"/>
    </row>
    <row r="34" spans="1:7" ht="19.5">
      <c r="A34" s="254" t="s">
        <v>8</v>
      </c>
      <c r="B34" s="255" t="s">
        <v>117</v>
      </c>
      <c r="C34" s="449" t="s">
        <v>69</v>
      </c>
      <c r="D34" s="450"/>
      <c r="E34" s="267" t="s">
        <v>60</v>
      </c>
      <c r="F34" s="266" t="s">
        <v>118</v>
      </c>
      <c r="G34" s="267" t="s">
        <v>125</v>
      </c>
    </row>
    <row r="35" spans="1:7" ht="24" customHeight="1">
      <c r="A35" s="268" t="s">
        <v>18</v>
      </c>
      <c r="B35" s="269" t="s">
        <v>114</v>
      </c>
      <c r="C35" s="294">
        <f>I15</f>
        <v>24601.804615384615</v>
      </c>
      <c r="D35" s="257"/>
      <c r="E35" s="10">
        <f>C35/3</f>
        <v>8200.601538461538</v>
      </c>
      <c r="F35" s="10">
        <f>C35/3</f>
        <v>8200.601538461538</v>
      </c>
      <c r="G35" s="10">
        <f>C35/3</f>
        <v>8200.601538461538</v>
      </c>
    </row>
    <row r="36" spans="1:7" ht="61.5" customHeight="1">
      <c r="A36" s="268" t="s">
        <v>75</v>
      </c>
      <c r="B36" s="269" t="s">
        <v>177</v>
      </c>
      <c r="C36" s="294" t="e">
        <f>H26</f>
        <v>#REF!</v>
      </c>
      <c r="D36" s="257"/>
      <c r="E36" s="273" t="e">
        <f>C36/3</f>
        <v>#REF!</v>
      </c>
      <c r="F36" s="273" t="e">
        <f>C36/3</f>
        <v>#REF!</v>
      </c>
      <c r="G36" s="273" t="e">
        <f>C36/3</f>
        <v>#REF!</v>
      </c>
    </row>
    <row r="37" spans="1:8" ht="19.5">
      <c r="A37" s="268" t="s">
        <v>113</v>
      </c>
      <c r="B37" s="269" t="s">
        <v>110</v>
      </c>
      <c r="C37" s="294">
        <f>E32</f>
        <v>7275.12</v>
      </c>
      <c r="D37" s="257"/>
      <c r="E37" s="10">
        <f>C37/3</f>
        <v>2425.04</v>
      </c>
      <c r="F37" s="10">
        <f>C37/3</f>
        <v>2425.04</v>
      </c>
      <c r="G37" s="10">
        <f>C37/3</f>
        <v>2425.04</v>
      </c>
      <c r="H37" s="19"/>
    </row>
    <row r="38" spans="1:7" ht="19.5">
      <c r="A38" s="449" t="s">
        <v>7</v>
      </c>
      <c r="B38" s="450"/>
      <c r="C38" s="295" t="e">
        <f>SUM(C35:C37)</f>
        <v>#REF!</v>
      </c>
      <c r="D38" s="257"/>
      <c r="E38" s="10" t="e">
        <f>C38/3</f>
        <v>#REF!</v>
      </c>
      <c r="F38" s="10" t="e">
        <f>C38/3</f>
        <v>#REF!</v>
      </c>
      <c r="G38" s="10" t="e">
        <f>C38/3</f>
        <v>#REF!</v>
      </c>
    </row>
    <row r="46" spans="1:3" ht="19.5">
      <c r="A46" s="394">
        <v>501</v>
      </c>
      <c r="B46" s="395" t="s">
        <v>168</v>
      </c>
      <c r="C46" s="250"/>
    </row>
    <row r="47" spans="1:3" ht="19.5">
      <c r="A47" s="394">
        <v>57</v>
      </c>
      <c r="B47" s="395" t="s">
        <v>169</v>
      </c>
      <c r="C47" s="250"/>
    </row>
  </sheetData>
  <mergeCells count="26">
    <mergeCell ref="T18:U18"/>
    <mergeCell ref="A6:H6"/>
    <mergeCell ref="A5:I5"/>
    <mergeCell ref="A1:I1"/>
    <mergeCell ref="A15:B15"/>
    <mergeCell ref="B18:D18"/>
    <mergeCell ref="R18:S18"/>
    <mergeCell ref="A2:I2"/>
    <mergeCell ref="A3:I3"/>
    <mergeCell ref="A4:I4"/>
    <mergeCell ref="B19:D19"/>
    <mergeCell ref="B20:D20"/>
    <mergeCell ref="C30:D30"/>
    <mergeCell ref="E30:F30"/>
    <mergeCell ref="A26:D26"/>
    <mergeCell ref="B21:D21"/>
    <mergeCell ref="B28:F28"/>
    <mergeCell ref="C29:D29"/>
    <mergeCell ref="E29:F29"/>
    <mergeCell ref="A38:B38"/>
    <mergeCell ref="C31:D31"/>
    <mergeCell ref="E31:F31"/>
    <mergeCell ref="A32:D32"/>
    <mergeCell ref="E32:F32"/>
    <mergeCell ref="A33:F33"/>
    <mergeCell ref="C34:D34"/>
  </mergeCells>
  <printOptions horizontalCentered="1"/>
  <pageMargins left="0.51" right="0.25" top="0.59" bottom="0.5" header="0.25" footer="0.25"/>
  <pageSetup horizontalDpi="180" verticalDpi="180" orientation="portrait" paperSize="9" r:id="rId2"/>
  <headerFooter alignWithMargins="0">
    <oddFooter>&amp;C4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">
      <selection activeCell="B13" sqref="B13"/>
    </sheetView>
  </sheetViews>
  <sheetFormatPr defaultColWidth="8.88671875" defaultRowHeight="18.75"/>
  <cols>
    <col min="1" max="1" width="3.88671875" style="28" customWidth="1"/>
    <col min="2" max="2" width="16.77734375" style="0" customWidth="1"/>
    <col min="3" max="4" width="7.21484375" style="0" customWidth="1"/>
    <col min="5" max="5" width="9.10546875" style="0" customWidth="1"/>
    <col min="6" max="6" width="7.6640625" style="0" customWidth="1"/>
    <col min="7" max="7" width="6.88671875" style="0" customWidth="1"/>
    <col min="8" max="8" width="6.3359375" style="0" customWidth="1"/>
    <col min="9" max="9" width="5.21484375" style="0" customWidth="1"/>
    <col min="10" max="10" width="5.4453125" style="0" customWidth="1"/>
    <col min="11" max="11" width="6.5546875" style="0" customWidth="1"/>
  </cols>
  <sheetData>
    <row r="1" spans="1:11" s="1" customFormat="1" ht="17.25" customHeight="1">
      <c r="A1" s="477" t="s">
        <v>223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s="1" customFormat="1" ht="17.25" customHeight="1">
      <c r="A2" s="482" t="s">
        <v>167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1" s="1" customFormat="1" ht="17.25" customHeight="1">
      <c r="A3" s="482" t="s">
        <v>170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1" s="1" customFormat="1" ht="17.25" customHeight="1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8" s="1" customFormat="1" ht="18.75">
      <c r="A5" s="403" t="s">
        <v>9</v>
      </c>
      <c r="B5" s="404"/>
      <c r="C5" s="404"/>
      <c r="D5" s="404"/>
      <c r="E5" s="404"/>
      <c r="F5" s="404"/>
      <c r="G5" s="404"/>
      <c r="H5" s="404"/>
    </row>
    <row r="6" spans="1:8" s="7" customFormat="1" ht="19.5">
      <c r="A6" s="441" t="s">
        <v>171</v>
      </c>
      <c r="B6" s="441"/>
      <c r="C6" s="441"/>
      <c r="D6" s="441"/>
      <c r="E6" s="441"/>
      <c r="F6" s="441"/>
      <c r="G6" s="441"/>
      <c r="H6" s="441"/>
    </row>
    <row r="7" spans="1:12" s="7" customFormat="1" ht="19.5">
      <c r="A7" s="405"/>
      <c r="B7" s="406"/>
      <c r="C7" s="405"/>
      <c r="D7" s="7" t="s">
        <v>4</v>
      </c>
      <c r="E7" s="405"/>
      <c r="F7" s="405"/>
      <c r="G7" s="405"/>
      <c r="H7" s="405"/>
      <c r="L7" s="237"/>
    </row>
    <row r="8" spans="1:7" s="1" customFormat="1" ht="20.25">
      <c r="A8" s="20"/>
      <c r="D8" s="54"/>
      <c r="E8" s="54"/>
      <c r="F8" s="407" t="s">
        <v>165</v>
      </c>
      <c r="G8" s="408"/>
    </row>
    <row r="9" spans="1:6" s="3" customFormat="1" ht="12.75">
      <c r="A9" s="124" t="s">
        <v>173</v>
      </c>
      <c r="B9" s="325" t="s">
        <v>140</v>
      </c>
      <c r="C9" s="125" t="s">
        <v>47</v>
      </c>
      <c r="D9" s="125" t="s">
        <v>48</v>
      </c>
      <c r="E9" s="396" t="s">
        <v>5</v>
      </c>
      <c r="F9" s="125" t="s">
        <v>6</v>
      </c>
    </row>
    <row r="10" spans="1:13" s="13" customFormat="1" ht="14.25">
      <c r="A10" s="179" t="s">
        <v>11</v>
      </c>
      <c r="B10" s="326" t="s">
        <v>34</v>
      </c>
      <c r="C10" s="327">
        <f>SUM(C11:C13)/3</f>
        <v>0.09500000000000001</v>
      </c>
      <c r="D10" s="327">
        <f>SUM(D11:D13)/3</f>
        <v>0.085</v>
      </c>
      <c r="E10" s="327">
        <f>SUM(E11:E13)/2</f>
        <v>0.07250000000000001</v>
      </c>
      <c r="F10" s="327">
        <f>SUM(F11:F13)/2</f>
        <v>0.0625</v>
      </c>
      <c r="H10" s="26"/>
      <c r="L10" s="121"/>
      <c r="M10" s="26"/>
    </row>
    <row r="11" spans="1:13" s="13" customFormat="1" ht="14.25">
      <c r="A11" s="12">
        <v>2.11</v>
      </c>
      <c r="B11" s="95" t="s">
        <v>46</v>
      </c>
      <c r="C11" s="96">
        <v>0.09</v>
      </c>
      <c r="D11" s="96">
        <v>0.08</v>
      </c>
      <c r="E11" s="96">
        <v>0.07</v>
      </c>
      <c r="F11" s="96">
        <v>0.06</v>
      </c>
      <c r="H11" s="26"/>
      <c r="L11" s="120"/>
      <c r="M11" s="26"/>
    </row>
    <row r="12" spans="1:11" s="13" customFormat="1" ht="14.25">
      <c r="A12" s="12">
        <v>2.12</v>
      </c>
      <c r="B12" s="95" t="s">
        <v>211</v>
      </c>
      <c r="C12" s="96">
        <v>0.095</v>
      </c>
      <c r="D12" s="96">
        <v>0.085</v>
      </c>
      <c r="E12" s="96">
        <v>0.075</v>
      </c>
      <c r="F12" s="96">
        <v>0.065</v>
      </c>
      <c r="H12" s="26"/>
      <c r="I12" s="26"/>
      <c r="J12" s="26"/>
      <c r="K12" s="27"/>
    </row>
    <row r="13" spans="1:11" s="13" customFormat="1" ht="14.25">
      <c r="A13" s="12">
        <v>2.13</v>
      </c>
      <c r="B13" s="95" t="s">
        <v>212</v>
      </c>
      <c r="C13" s="96">
        <v>0.1</v>
      </c>
      <c r="D13" s="96">
        <v>0.09</v>
      </c>
      <c r="E13" s="96"/>
      <c r="F13" s="96"/>
      <c r="H13" s="26"/>
      <c r="I13" s="26"/>
      <c r="J13" s="26"/>
      <c r="K13" s="27"/>
    </row>
    <row r="14" spans="1:11" s="13" customFormat="1" ht="12.75">
      <c r="A14" s="32"/>
      <c r="B14" s="33"/>
      <c r="C14" s="34"/>
      <c r="D14" s="34"/>
      <c r="E14" s="49"/>
      <c r="F14" s="34"/>
      <c r="H14" s="26"/>
      <c r="I14" s="26"/>
      <c r="J14" s="26"/>
      <c r="K14" s="27"/>
    </row>
    <row r="15" spans="1:11" s="4" customFormat="1" ht="15.75">
      <c r="A15" s="41" t="s">
        <v>180</v>
      </c>
      <c r="B15" s="22"/>
      <c r="C15" s="122"/>
      <c r="D15" s="23"/>
      <c r="E15" s="24"/>
      <c r="F15" s="23"/>
      <c r="G15" s="21"/>
      <c r="H15" s="9"/>
      <c r="I15" s="9"/>
      <c r="J15" s="9"/>
      <c r="K15" s="8"/>
    </row>
    <row r="16" spans="1:9" s="3" customFormat="1" ht="15.75">
      <c r="A16" s="124" t="s">
        <v>0</v>
      </c>
      <c r="B16" s="159" t="s">
        <v>140</v>
      </c>
      <c r="C16" s="125" t="s">
        <v>61</v>
      </c>
      <c r="D16" s="125" t="s">
        <v>48</v>
      </c>
      <c r="E16" s="396" t="s">
        <v>5</v>
      </c>
      <c r="F16" s="125" t="s">
        <v>6</v>
      </c>
      <c r="G16" s="494" t="s">
        <v>12</v>
      </c>
      <c r="H16" s="495"/>
      <c r="I16" s="191" t="s">
        <v>73</v>
      </c>
    </row>
    <row r="17" spans="1:9" s="13" customFormat="1" ht="14.25">
      <c r="A17" s="179">
        <v>1</v>
      </c>
      <c r="B17" s="192" t="s">
        <v>178</v>
      </c>
      <c r="C17" s="123">
        <f>C10*2*'B1.Luong noi.n'!$L$22</f>
        <v>11685.857192307694</v>
      </c>
      <c r="D17" s="123">
        <f>D10*2*'B1.Luong noi.n'!$L$22</f>
        <v>10455.766961538462</v>
      </c>
      <c r="E17" s="123">
        <f>E10*2*'B1.Luong noi.n'!$L$22</f>
        <v>8918.154173076924</v>
      </c>
      <c r="F17" s="123">
        <f>F10*2*'B1.Luong noi.n'!$L$22</f>
        <v>7688.063942307693</v>
      </c>
      <c r="G17" s="496">
        <f>SUM(C17:F17)/4</f>
        <v>9686.960567307693</v>
      </c>
      <c r="H17" s="497"/>
      <c r="I17" s="397">
        <f>G17</f>
        <v>9686.960567307693</v>
      </c>
    </row>
    <row r="18" spans="1:7" s="13" customFormat="1" ht="12.75">
      <c r="A18" s="32"/>
      <c r="B18" s="33"/>
      <c r="C18" s="35"/>
      <c r="D18" s="35"/>
      <c r="E18" s="35"/>
      <c r="F18" s="35"/>
      <c r="G18" s="50"/>
    </row>
    <row r="19" spans="1:8" s="45" customFormat="1" ht="18">
      <c r="A19" s="44" t="s">
        <v>179</v>
      </c>
      <c r="B19" s="42"/>
      <c r="C19" s="42"/>
      <c r="D19" s="42"/>
      <c r="E19" s="42"/>
      <c r="F19" s="42"/>
      <c r="G19" s="43"/>
      <c r="H19" s="43"/>
    </row>
    <row r="20" spans="1:10" s="45" customFormat="1" ht="18.75" customHeight="1">
      <c r="A20" s="132"/>
      <c r="B20" s="325" t="s">
        <v>22</v>
      </c>
      <c r="C20" s="180" t="s">
        <v>66</v>
      </c>
      <c r="D20" s="180" t="s">
        <v>215</v>
      </c>
      <c r="E20" s="393" t="s">
        <v>70</v>
      </c>
      <c r="F20" s="343" t="s">
        <v>69</v>
      </c>
      <c r="G20" s="126" t="s">
        <v>72</v>
      </c>
      <c r="H20" s="484" t="s">
        <v>74</v>
      </c>
      <c r="I20" s="485"/>
      <c r="J20" s="338" t="s">
        <v>73</v>
      </c>
    </row>
    <row r="21" spans="1:10" s="45" customFormat="1" ht="15.75">
      <c r="A21" s="193">
        <v>1</v>
      </c>
      <c r="B21" s="117" t="s">
        <v>68</v>
      </c>
      <c r="C21" s="160" t="s">
        <v>67</v>
      </c>
      <c r="D21" s="161">
        <v>2</v>
      </c>
      <c r="E21" s="160" t="s">
        <v>108</v>
      </c>
      <c r="F21" s="162">
        <f>0.4*8*1100</f>
        <v>3520</v>
      </c>
      <c r="G21" s="198">
        <f>F21/7</f>
        <v>502.85714285714283</v>
      </c>
      <c r="H21" s="341"/>
      <c r="I21" s="352">
        <f>G21</f>
        <v>502.85714285714283</v>
      </c>
      <c r="J21" s="339">
        <f>SUM(H21:I21)</f>
        <v>502.85714285714283</v>
      </c>
    </row>
    <row r="22" spans="1:10" s="45" customFormat="1" ht="15.75">
      <c r="A22" s="194">
        <v>2</v>
      </c>
      <c r="B22" s="118" t="s">
        <v>214</v>
      </c>
      <c r="C22" s="195" t="s">
        <v>67</v>
      </c>
      <c r="D22" s="196">
        <v>1</v>
      </c>
      <c r="E22" s="195" t="s">
        <v>71</v>
      </c>
      <c r="F22" s="190">
        <f>2.2*8*1100</f>
        <v>19360</v>
      </c>
      <c r="G22" s="200">
        <f>F22/28</f>
        <v>691.4285714285714</v>
      </c>
      <c r="H22" s="313"/>
      <c r="I22" s="353">
        <f>G22</f>
        <v>691.4285714285714</v>
      </c>
      <c r="J22" s="340">
        <f>SUM(H22:I22)</f>
        <v>691.4285714285714</v>
      </c>
    </row>
    <row r="23" spans="1:10" s="45" customFormat="1" ht="16.5">
      <c r="A23" s="197"/>
      <c r="B23" s="150" t="s">
        <v>73</v>
      </c>
      <c r="C23" s="163"/>
      <c r="D23" s="163"/>
      <c r="E23" s="163"/>
      <c r="F23" s="163"/>
      <c r="G23" s="164">
        <f>SUM(G21:G22)</f>
        <v>1194.2857142857142</v>
      </c>
      <c r="H23" s="342"/>
      <c r="I23" s="354">
        <f>SUM(I21:I22)</f>
        <v>1194.2857142857142</v>
      </c>
      <c r="J23" s="398">
        <f>SUM(H23:I23)</f>
        <v>1194.2857142857142</v>
      </c>
    </row>
    <row r="24" spans="1:8" ht="19.5" thickBot="1">
      <c r="A24" s="40" t="s">
        <v>224</v>
      </c>
      <c r="B24" s="14"/>
      <c r="C24" s="14"/>
      <c r="D24" s="14"/>
      <c r="E24" s="14"/>
      <c r="F24" s="14"/>
      <c r="G24" s="15"/>
      <c r="H24" s="15"/>
    </row>
    <row r="25" spans="1:11" ht="48" thickTop="1">
      <c r="A25" s="46" t="s">
        <v>0</v>
      </c>
      <c r="B25" s="186" t="s">
        <v>26</v>
      </c>
      <c r="C25" s="187" t="s">
        <v>15</v>
      </c>
      <c r="D25" s="187" t="s">
        <v>16</v>
      </c>
      <c r="E25" s="434" t="s">
        <v>27</v>
      </c>
      <c r="F25" s="435"/>
      <c r="G25" s="187" t="s">
        <v>20</v>
      </c>
      <c r="H25" s="492" t="s">
        <v>21</v>
      </c>
      <c r="I25" s="493"/>
      <c r="J25" s="128" t="s">
        <v>74</v>
      </c>
      <c r="K25" s="128" t="s">
        <v>73</v>
      </c>
    </row>
    <row r="26" spans="1:11" ht="18.75">
      <c r="A26" s="201">
        <v>1</v>
      </c>
      <c r="B26" s="202" t="s">
        <v>17</v>
      </c>
      <c r="C26" s="157">
        <v>1</v>
      </c>
      <c r="D26" s="251">
        <v>7000000</v>
      </c>
      <c r="E26" s="488" t="s">
        <v>217</v>
      </c>
      <c r="F26" s="488"/>
      <c r="G26" s="203">
        <v>7</v>
      </c>
      <c r="H26" s="347">
        <f>(D26/(260*10))/7</f>
        <v>384.61538461538464</v>
      </c>
      <c r="I26" s="344"/>
      <c r="J26" s="312">
        <f>H26</f>
        <v>384.61538461538464</v>
      </c>
      <c r="K26" s="199">
        <f>I26+J26</f>
        <v>384.61538461538464</v>
      </c>
    </row>
    <row r="27" spans="1:11" ht="18.75">
      <c r="A27" s="204">
        <v>2</v>
      </c>
      <c r="B27" s="205" t="s">
        <v>24</v>
      </c>
      <c r="C27" s="134">
        <v>1</v>
      </c>
      <c r="D27" s="169">
        <v>1000000</v>
      </c>
      <c r="E27" s="489" t="s">
        <v>216</v>
      </c>
      <c r="F27" s="490"/>
      <c r="G27" s="206">
        <v>7</v>
      </c>
      <c r="H27" s="348">
        <f>(D27/(260*10))/7</f>
        <v>54.94505494505495</v>
      </c>
      <c r="I27" s="340"/>
      <c r="J27" s="129">
        <f>H27</f>
        <v>54.94505494505495</v>
      </c>
      <c r="K27" s="129">
        <f>I27+J27</f>
        <v>54.94505494505495</v>
      </c>
    </row>
    <row r="28" spans="1:11" ht="18.75">
      <c r="A28" s="204">
        <v>3</v>
      </c>
      <c r="B28" s="205" t="s">
        <v>181</v>
      </c>
      <c r="C28" s="134">
        <v>1</v>
      </c>
      <c r="D28" s="169">
        <v>7000000</v>
      </c>
      <c r="E28" s="491" t="s">
        <v>217</v>
      </c>
      <c r="F28" s="491"/>
      <c r="G28" s="206">
        <v>28</v>
      </c>
      <c r="H28" s="348">
        <f>(D28/(260*10))/28</f>
        <v>96.15384615384616</v>
      </c>
      <c r="I28" s="340"/>
      <c r="J28" s="199">
        <f>H28</f>
        <v>96.15384615384616</v>
      </c>
      <c r="K28" s="129">
        <f>I28+J28</f>
        <v>96.15384615384616</v>
      </c>
    </row>
    <row r="29" spans="1:11" ht="18.75">
      <c r="A29" s="207">
        <v>4</v>
      </c>
      <c r="B29" s="208" t="s">
        <v>25</v>
      </c>
      <c r="C29" s="158">
        <v>1</v>
      </c>
      <c r="D29" s="173">
        <v>36000</v>
      </c>
      <c r="E29" s="486" t="s">
        <v>218</v>
      </c>
      <c r="F29" s="487"/>
      <c r="G29" s="209">
        <v>14</v>
      </c>
      <c r="H29" s="349">
        <f>(D29/(260*10))/14</f>
        <v>0.989010989010989</v>
      </c>
      <c r="I29" s="345"/>
      <c r="J29" s="314">
        <f>H29</f>
        <v>0.989010989010989</v>
      </c>
      <c r="K29" s="210">
        <f>I29+J29</f>
        <v>0.989010989010989</v>
      </c>
    </row>
    <row r="30" spans="1:11" ht="18.75">
      <c r="A30" s="449" t="s">
        <v>36</v>
      </c>
      <c r="B30" s="431"/>
      <c r="C30" s="450"/>
      <c r="D30" s="10"/>
      <c r="E30" s="101"/>
      <c r="F30" s="102"/>
      <c r="G30" s="101"/>
      <c r="H30" s="127">
        <f>SUM(H26:H29)</f>
        <v>536.7032967032968</v>
      </c>
      <c r="I30" s="328"/>
      <c r="J30" s="346">
        <f>SUM(J26:J29)</f>
        <v>536.7032967032968</v>
      </c>
      <c r="K30" s="399">
        <f>SUM(K26:K29)</f>
        <v>536.7032967032968</v>
      </c>
    </row>
    <row r="31" spans="1:11" ht="18.75">
      <c r="A31" s="350"/>
      <c r="B31" s="351"/>
      <c r="C31" s="351"/>
      <c r="D31" s="265"/>
      <c r="E31" s="265"/>
      <c r="F31" s="265"/>
      <c r="G31" s="48"/>
      <c r="H31" s="19"/>
      <c r="I31" s="19"/>
      <c r="J31" s="19"/>
      <c r="K31" s="131"/>
    </row>
    <row r="32" spans="1:11" ht="15" customHeight="1">
      <c r="A32" s="315" t="s">
        <v>23</v>
      </c>
      <c r="B32" s="483" t="s">
        <v>182</v>
      </c>
      <c r="C32" s="483"/>
      <c r="D32" s="483"/>
      <c r="E32" s="483"/>
      <c r="F32" s="483"/>
      <c r="G32" s="48"/>
      <c r="H32" s="19"/>
      <c r="I32" s="19"/>
      <c r="J32" s="19"/>
      <c r="K32" s="131"/>
    </row>
    <row r="33" spans="1:11" ht="18.75">
      <c r="A33" s="254" t="s">
        <v>0</v>
      </c>
      <c r="B33" s="456" t="s">
        <v>110</v>
      </c>
      <c r="C33" s="431" t="s">
        <v>112</v>
      </c>
      <c r="D33" s="431"/>
      <c r="E33" s="439" t="s">
        <v>14</v>
      </c>
      <c r="F33" s="440"/>
      <c r="G33" s="48"/>
      <c r="H33" s="19"/>
      <c r="I33" s="19"/>
      <c r="J33" s="19"/>
      <c r="K33" s="131"/>
    </row>
    <row r="34" spans="1:11" ht="18.75">
      <c r="A34" s="262">
        <v>1</v>
      </c>
      <c r="B34" s="263" t="s">
        <v>154</v>
      </c>
      <c r="C34" s="432" t="s">
        <v>183</v>
      </c>
      <c r="D34" s="432"/>
      <c r="E34" s="470">
        <f>22/100*8739</f>
        <v>1922.58</v>
      </c>
      <c r="F34" s="471"/>
      <c r="G34" s="48"/>
      <c r="H34" s="19"/>
      <c r="I34" s="19"/>
      <c r="J34" s="19"/>
      <c r="K34" s="131"/>
    </row>
    <row r="35" spans="1:11" ht="18.75">
      <c r="A35" s="262">
        <v>2</v>
      </c>
      <c r="B35" s="263" t="s">
        <v>111</v>
      </c>
      <c r="C35" s="432" t="s">
        <v>184</v>
      </c>
      <c r="D35" s="432"/>
      <c r="E35" s="470">
        <f>2/100*8739</f>
        <v>174.78</v>
      </c>
      <c r="F35" s="471"/>
      <c r="G35" s="48"/>
      <c r="H35" s="19"/>
      <c r="I35" s="19"/>
      <c r="J35" s="19"/>
      <c r="K35" s="131"/>
    </row>
    <row r="36" spans="1:8" ht="18.75">
      <c r="A36" s="449" t="s">
        <v>7</v>
      </c>
      <c r="B36" s="431"/>
      <c r="C36" s="431"/>
      <c r="D36" s="450"/>
      <c r="E36" s="470">
        <f>SUM(E34:F35)</f>
        <v>2097.36</v>
      </c>
      <c r="F36" s="471"/>
      <c r="G36" s="48"/>
      <c r="H36" s="19"/>
    </row>
    <row r="37" spans="1:8" ht="18.75">
      <c r="A37" s="51"/>
      <c r="B37" s="51"/>
      <c r="C37" s="51"/>
      <c r="D37" s="51"/>
      <c r="E37" s="48"/>
      <c r="F37" s="48"/>
      <c r="G37" s="48"/>
      <c r="H37" s="19"/>
    </row>
    <row r="38" spans="1:12" ht="18.75">
      <c r="A38" s="400" t="s">
        <v>185</v>
      </c>
      <c r="B38" s="130"/>
      <c r="C38" s="130"/>
      <c r="D38" s="130"/>
      <c r="E38" s="130"/>
      <c r="F38" s="130"/>
      <c r="G38" s="131"/>
      <c r="K38" s="401">
        <f>I17+J23+K30+E36</f>
        <v>13515.309578296705</v>
      </c>
      <c r="L38" s="253"/>
    </row>
    <row r="39" spans="1:8" ht="18.75" customHeight="1">
      <c r="A39" s="40"/>
      <c r="B39" s="18"/>
      <c r="C39" s="18"/>
      <c r="D39" s="18"/>
      <c r="E39" s="18"/>
      <c r="F39" s="18"/>
      <c r="G39" s="19"/>
      <c r="H39" s="19"/>
    </row>
    <row r="40" ht="18.75" customHeight="1">
      <c r="A40"/>
    </row>
    <row r="41" s="16" customFormat="1" ht="18.75"/>
    <row r="42" s="16" customFormat="1" ht="18.75"/>
    <row r="43" s="17" customFormat="1" ht="19.5">
      <c r="C43" s="64"/>
    </row>
    <row r="44" spans="1:2" ht="18.75">
      <c r="A44" s="25"/>
      <c r="B44" s="52"/>
    </row>
    <row r="45" spans="1:3" ht="18.75">
      <c r="A45" s="25"/>
      <c r="B45" s="52"/>
      <c r="C45" s="25"/>
    </row>
  </sheetData>
  <mergeCells count="24">
    <mergeCell ref="H25:I25"/>
    <mergeCell ref="A6:H6"/>
    <mergeCell ref="G16:H16"/>
    <mergeCell ref="G17:H17"/>
    <mergeCell ref="A1:K1"/>
    <mergeCell ref="A2:K2"/>
    <mergeCell ref="A3:K3"/>
    <mergeCell ref="A4:K4"/>
    <mergeCell ref="A36:D36"/>
    <mergeCell ref="E36:F36"/>
    <mergeCell ref="C33:D33"/>
    <mergeCell ref="E33:F33"/>
    <mergeCell ref="C34:D34"/>
    <mergeCell ref="E34:F34"/>
    <mergeCell ref="B32:F32"/>
    <mergeCell ref="H20:I20"/>
    <mergeCell ref="C35:D35"/>
    <mergeCell ref="E35:F35"/>
    <mergeCell ref="E29:F29"/>
    <mergeCell ref="A30:C30"/>
    <mergeCell ref="E26:F26"/>
    <mergeCell ref="E27:F27"/>
    <mergeCell ref="E28:F28"/>
    <mergeCell ref="E25:F25"/>
  </mergeCells>
  <printOptions horizontalCentered="1"/>
  <pageMargins left="0.2362204724409449" right="0.2362204724409449" top="0.5118110236220472" bottom="0.5118110236220472" header="0.2362204724409449" footer="0.2362204724409449"/>
  <pageSetup horizontalDpi="180" verticalDpi="180" orientation="portrait" paperSize="9" scale="95" r:id="rId2"/>
  <headerFooter alignWithMargins="0">
    <oddFooter>&amp;C5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10" sqref="D10"/>
    </sheetView>
  </sheetViews>
  <sheetFormatPr defaultColWidth="8.88671875" defaultRowHeight="18.75"/>
  <cols>
    <col min="1" max="1" width="5.3359375" style="28" customWidth="1"/>
    <col min="2" max="2" width="27.21484375" style="0" customWidth="1"/>
    <col min="3" max="3" width="10.77734375" style="0" customWidth="1"/>
    <col min="4" max="4" width="9.10546875" style="0" customWidth="1"/>
    <col min="5" max="5" width="7.5546875" style="0" customWidth="1"/>
    <col min="6" max="6" width="9.10546875" style="0" customWidth="1"/>
  </cols>
  <sheetData>
    <row r="1" spans="1:6" s="1" customFormat="1" ht="18.75">
      <c r="A1" s="461" t="s">
        <v>225</v>
      </c>
      <c r="B1" s="461"/>
      <c r="C1" s="461"/>
      <c r="D1" s="461"/>
      <c r="E1" s="461"/>
      <c r="F1" s="461"/>
    </row>
    <row r="2" spans="1:6" s="1" customFormat="1" ht="21">
      <c r="A2" s="403" t="s">
        <v>10</v>
      </c>
      <c r="B2" s="404"/>
      <c r="C2" s="404"/>
      <c r="D2" s="404"/>
      <c r="E2" s="404"/>
      <c r="F2" s="389"/>
    </row>
    <row r="3" spans="1:6" s="7" customFormat="1" ht="18.75">
      <c r="A3" s="503" t="s">
        <v>153</v>
      </c>
      <c r="B3" s="503"/>
      <c r="C3" s="503"/>
      <c r="D3" s="503"/>
      <c r="E3" s="503"/>
      <c r="F3" s="503"/>
    </row>
    <row r="4" spans="1:6" s="1" customFormat="1" ht="18.75">
      <c r="A4" s="404"/>
      <c r="B4" s="409"/>
      <c r="C4" s="403" t="s">
        <v>147</v>
      </c>
      <c r="D4" s="410"/>
      <c r="E4" s="409"/>
      <c r="F4" s="403"/>
    </row>
    <row r="5" spans="1:6" s="1" customFormat="1" ht="19.5">
      <c r="A5" s="31" t="s">
        <v>40</v>
      </c>
      <c r="E5" s="407" t="s">
        <v>165</v>
      </c>
      <c r="F5" s="411"/>
    </row>
    <row r="6" spans="1:6" s="3" customFormat="1" ht="41.25" customHeight="1">
      <c r="A6" s="355" t="s">
        <v>173</v>
      </c>
      <c r="B6" s="355" t="s">
        <v>19</v>
      </c>
      <c r="C6" s="356" t="s">
        <v>31</v>
      </c>
      <c r="D6" s="356" t="s">
        <v>42</v>
      </c>
      <c r="E6" s="356" t="s">
        <v>41</v>
      </c>
      <c r="F6" s="357" t="s">
        <v>33</v>
      </c>
    </row>
    <row r="7" spans="1:6" s="13" customFormat="1" ht="18.75" customHeight="1">
      <c r="A7" s="179">
        <v>1</v>
      </c>
      <c r="B7" s="457" t="s">
        <v>43</v>
      </c>
      <c r="C7" s="327" t="s">
        <v>32</v>
      </c>
      <c r="D7" s="388">
        <v>0.05</v>
      </c>
      <c r="E7" s="358">
        <v>1</v>
      </c>
      <c r="F7" s="359">
        <f>'B1.Luong noi.n'!L22*D7*E7</f>
        <v>3075.2255769230774</v>
      </c>
    </row>
    <row r="8" spans="1:6" s="13" customFormat="1" ht="12.75">
      <c r="A8" s="32"/>
      <c r="B8" s="33"/>
      <c r="C8" s="34"/>
      <c r="D8" s="34"/>
      <c r="E8" s="34"/>
      <c r="F8" s="35"/>
    </row>
    <row r="9" s="4" customFormat="1" ht="19.5">
      <c r="A9" s="36" t="s">
        <v>186</v>
      </c>
    </row>
    <row r="10" spans="1:6" s="30" customFormat="1" ht="32.25" customHeight="1">
      <c r="A10" s="187" t="s">
        <v>187</v>
      </c>
      <c r="B10" s="498" t="s">
        <v>188</v>
      </c>
      <c r="C10" s="498"/>
      <c r="D10" s="156" t="s">
        <v>13</v>
      </c>
      <c r="E10" s="156" t="s">
        <v>14</v>
      </c>
      <c r="F10"/>
    </row>
    <row r="11" spans="1:5" ht="18.75">
      <c r="A11" s="360">
        <v>1</v>
      </c>
      <c r="B11" s="500" t="s">
        <v>44</v>
      </c>
      <c r="C11" s="500"/>
      <c r="D11" s="39"/>
      <c r="E11" s="361">
        <f>SUM(E12:E13)</f>
        <v>1000</v>
      </c>
    </row>
    <row r="12" spans="1:5" ht="18.75">
      <c r="A12" s="360"/>
      <c r="B12" s="501" t="s">
        <v>265</v>
      </c>
      <c r="C12" s="501"/>
      <c r="D12" s="39">
        <v>500</v>
      </c>
      <c r="E12" s="39">
        <f>D12</f>
        <v>500</v>
      </c>
    </row>
    <row r="13" spans="1:5" ht="18.75">
      <c r="A13" s="360"/>
      <c r="B13" s="501" t="s">
        <v>267</v>
      </c>
      <c r="C13" s="501"/>
      <c r="D13" s="39">
        <v>500</v>
      </c>
      <c r="E13" s="39">
        <f>D13</f>
        <v>500</v>
      </c>
    </row>
    <row r="14" spans="1:5" ht="18.75">
      <c r="A14" s="364"/>
      <c r="B14" s="362"/>
      <c r="C14" s="362"/>
      <c r="D14" s="363"/>
      <c r="E14" s="363"/>
    </row>
    <row r="15" spans="1:6" ht="19.5" customHeight="1">
      <c r="A15" s="315" t="s">
        <v>62</v>
      </c>
      <c r="B15" s="504" t="s">
        <v>266</v>
      </c>
      <c r="C15" s="504"/>
      <c r="D15" s="504"/>
      <c r="E15" s="114"/>
      <c r="F15" s="114"/>
    </row>
    <row r="16" spans="1:6" ht="18.75">
      <c r="A16" s="268" t="s">
        <v>0</v>
      </c>
      <c r="B16" s="263" t="s">
        <v>110</v>
      </c>
      <c r="C16" s="431" t="s">
        <v>112</v>
      </c>
      <c r="D16" s="431"/>
      <c r="E16" s="439" t="s">
        <v>14</v>
      </c>
      <c r="F16" s="440"/>
    </row>
    <row r="17" spans="1:6" ht="18.75">
      <c r="A17" s="262">
        <v>1</v>
      </c>
      <c r="B17" s="263" t="s">
        <v>154</v>
      </c>
      <c r="C17" s="432" t="s">
        <v>175</v>
      </c>
      <c r="D17" s="432"/>
      <c r="E17" s="470">
        <f>22/100*4068</f>
        <v>894.96</v>
      </c>
      <c r="F17" s="471"/>
    </row>
    <row r="18" spans="1:6" ht="18.75">
      <c r="A18" s="262">
        <v>2</v>
      </c>
      <c r="B18" s="263" t="s">
        <v>111</v>
      </c>
      <c r="C18" s="432" t="s">
        <v>176</v>
      </c>
      <c r="D18" s="432"/>
      <c r="E18" s="470">
        <f>2/100*4068</f>
        <v>81.36</v>
      </c>
      <c r="F18" s="471"/>
    </row>
    <row r="19" spans="1:6" s="16" customFormat="1" ht="18.75">
      <c r="A19" s="449" t="s">
        <v>7</v>
      </c>
      <c r="B19" s="431"/>
      <c r="C19" s="431"/>
      <c r="D19" s="450"/>
      <c r="E19" s="470">
        <f>SUM(E17:F18)</f>
        <v>976.32</v>
      </c>
      <c r="F19" s="471"/>
    </row>
    <row r="20" spans="1:6" s="16" customFormat="1" ht="18.75">
      <c r="A20" s="51"/>
      <c r="B20" s="51"/>
      <c r="C20" s="51"/>
      <c r="D20" s="51"/>
      <c r="E20" s="48"/>
      <c r="F20" s="48"/>
    </row>
    <row r="21" spans="1:7" s="16" customFormat="1" ht="18.75">
      <c r="A21" s="433" t="s">
        <v>268</v>
      </c>
      <c r="B21" s="433"/>
      <c r="C21" s="433"/>
      <c r="D21" s="433"/>
      <c r="E21" s="502"/>
      <c r="F21" s="502"/>
      <c r="G21" s="48"/>
    </row>
    <row r="22" spans="1:6" s="16" customFormat="1" ht="18.75">
      <c r="A22" s="254" t="s">
        <v>0</v>
      </c>
      <c r="B22" s="255" t="s">
        <v>117</v>
      </c>
      <c r="C22" s="449" t="s">
        <v>69</v>
      </c>
      <c r="D22" s="450"/>
      <c r="E22" s="19"/>
      <c r="F22" s="19"/>
    </row>
    <row r="23" spans="1:7" s="16" customFormat="1" ht="18.75">
      <c r="A23" s="268" t="s">
        <v>18</v>
      </c>
      <c r="B23" s="269" t="s">
        <v>114</v>
      </c>
      <c r="C23" s="270">
        <f>F7</f>
        <v>3075.2255769230774</v>
      </c>
      <c r="D23" s="257"/>
      <c r="E23" s="48"/>
      <c r="F23" s="48"/>
      <c r="G23" s="48"/>
    </row>
    <row r="24" spans="1:7" s="16" customFormat="1" ht="33">
      <c r="A24" s="268" t="s">
        <v>75</v>
      </c>
      <c r="B24" s="269" t="s">
        <v>177</v>
      </c>
      <c r="C24" s="272">
        <f>E11</f>
        <v>1000</v>
      </c>
      <c r="D24" s="257"/>
      <c r="E24" s="274"/>
      <c r="F24" s="274"/>
      <c r="G24" s="274"/>
    </row>
    <row r="25" spans="1:7" s="16" customFormat="1" ht="18.75">
      <c r="A25" s="268" t="s">
        <v>113</v>
      </c>
      <c r="B25" s="269" t="s">
        <v>110</v>
      </c>
      <c r="C25" s="272">
        <f>E19</f>
        <v>976.32</v>
      </c>
      <c r="D25" s="257"/>
      <c r="E25" s="48"/>
      <c r="F25" s="48"/>
      <c r="G25" s="48"/>
    </row>
    <row r="26" spans="1:7" s="16" customFormat="1" ht="18.75">
      <c r="A26" s="449" t="s">
        <v>7</v>
      </c>
      <c r="B26" s="450"/>
      <c r="C26" s="270">
        <f>SUM(C23:C25)</f>
        <v>5051.5455769230775</v>
      </c>
      <c r="D26" s="257"/>
      <c r="E26" s="19"/>
      <c r="F26" s="19"/>
      <c r="G26" s="48"/>
    </row>
    <row r="27" spans="1:6" s="16" customFormat="1" ht="18.75">
      <c r="A27" s="51"/>
      <c r="B27" s="51"/>
      <c r="C27" s="51"/>
      <c r="D27" s="51"/>
      <c r="E27" s="48"/>
      <c r="F27" s="48"/>
    </row>
    <row r="28" spans="1:6" s="16" customFormat="1" ht="18.75">
      <c r="A28" s="51"/>
      <c r="B28" s="51"/>
      <c r="C28" s="323"/>
      <c r="D28" s="51"/>
      <c r="E28" s="48"/>
      <c r="F28" s="48"/>
    </row>
    <row r="29" spans="1:6" ht="18.75">
      <c r="A29" s="364"/>
      <c r="B29" s="499"/>
      <c r="C29" s="499"/>
      <c r="D29" s="499"/>
      <c r="E29" s="499"/>
      <c r="F29" s="366"/>
    </row>
    <row r="33" ht="18.75">
      <c r="F33" s="25"/>
    </row>
  </sheetData>
  <mergeCells count="19">
    <mergeCell ref="A1:F1"/>
    <mergeCell ref="A3:F3"/>
    <mergeCell ref="A26:B26"/>
    <mergeCell ref="E17:F17"/>
    <mergeCell ref="C18:D18"/>
    <mergeCell ref="E18:F18"/>
    <mergeCell ref="A19:D19"/>
    <mergeCell ref="E19:F19"/>
    <mergeCell ref="C22:D22"/>
    <mergeCell ref="B15:D15"/>
    <mergeCell ref="B10:C10"/>
    <mergeCell ref="B29:E29"/>
    <mergeCell ref="B11:C11"/>
    <mergeCell ref="B12:C12"/>
    <mergeCell ref="B13:C13"/>
    <mergeCell ref="C16:D16"/>
    <mergeCell ref="E16:F16"/>
    <mergeCell ref="C17:D17"/>
    <mergeCell ref="A21:F21"/>
  </mergeCells>
  <printOptions horizontalCentered="1"/>
  <pageMargins left="0.58" right="0.5" top="0.93" bottom="0.5" header="0.54" footer="0.25"/>
  <pageSetup horizontalDpi="180" verticalDpi="180" orientation="portrait" paperSize="9" r:id="rId2"/>
  <headerFooter alignWithMargins="0">
    <oddFooter>&amp;C6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F26" sqref="F26"/>
    </sheetView>
  </sheetViews>
  <sheetFormatPr defaultColWidth="8.88671875" defaultRowHeight="18.75"/>
  <cols>
    <col min="2" max="2" width="21.5546875" style="0" customWidth="1"/>
    <col min="5" max="5" width="11.10546875" style="0" customWidth="1"/>
    <col min="6" max="6" width="6.88671875" style="0" customWidth="1"/>
  </cols>
  <sheetData>
    <row r="1" spans="1:9" ht="21">
      <c r="A1" s="508" t="s">
        <v>226</v>
      </c>
      <c r="B1" s="508"/>
      <c r="C1" s="508"/>
      <c r="D1" s="508"/>
      <c r="E1" s="508"/>
      <c r="F1" s="508"/>
      <c r="G1" s="508"/>
      <c r="H1" s="508"/>
      <c r="I1" s="412"/>
    </row>
    <row r="2" spans="1:9" ht="20.25" customHeight="1">
      <c r="A2" s="509" t="s">
        <v>189</v>
      </c>
      <c r="B2" s="509"/>
      <c r="C2" s="509"/>
      <c r="D2" s="509"/>
      <c r="E2" s="509"/>
      <c r="F2" s="509"/>
      <c r="G2" s="509"/>
      <c r="H2" s="509"/>
      <c r="I2" s="509"/>
    </row>
    <row r="3" spans="1:8" s="7" customFormat="1" ht="18.75">
      <c r="A3" s="510" t="s">
        <v>153</v>
      </c>
      <c r="B3" s="510"/>
      <c r="C3" s="510"/>
      <c r="D3" s="510"/>
      <c r="E3" s="510"/>
      <c r="F3" s="510"/>
      <c r="G3" s="510"/>
      <c r="H3" s="510"/>
    </row>
    <row r="4" spans="1:9" ht="21">
      <c r="A4" s="389"/>
      <c r="B4" s="412"/>
      <c r="C4" s="7" t="s">
        <v>94</v>
      </c>
      <c r="D4" s="412"/>
      <c r="E4" s="17"/>
      <c r="F4" s="17"/>
      <c r="G4" s="412"/>
      <c r="H4" s="412"/>
      <c r="I4" s="412"/>
    </row>
    <row r="5" spans="1:9" ht="20.25">
      <c r="A5" s="36" t="s">
        <v>63</v>
      </c>
      <c r="B5" s="99"/>
      <c r="C5" s="99"/>
      <c r="D5" s="37"/>
      <c r="E5" s="407" t="s">
        <v>165</v>
      </c>
      <c r="F5" s="37"/>
      <c r="G5" s="99"/>
      <c r="H5" s="99"/>
      <c r="I5" s="99"/>
    </row>
    <row r="6" spans="1:6" ht="31.5">
      <c r="A6" s="174" t="s">
        <v>173</v>
      </c>
      <c r="B6" s="174" t="s">
        <v>102</v>
      </c>
      <c r="C6" s="175" t="s">
        <v>31</v>
      </c>
      <c r="D6" s="175" t="s">
        <v>132</v>
      </c>
      <c r="E6" s="176" t="s">
        <v>141</v>
      </c>
      <c r="F6" s="337"/>
    </row>
    <row r="7" spans="1:6" ht="18.75">
      <c r="A7" s="12">
        <v>1</v>
      </c>
      <c r="B7" s="95" t="s">
        <v>98</v>
      </c>
      <c r="C7" s="96" t="s">
        <v>100</v>
      </c>
      <c r="D7" s="96">
        <v>0.016</v>
      </c>
      <c r="E7" s="177">
        <f>'B1.Luong noi.n'!$L$22*D7</f>
        <v>984.0721846153847</v>
      </c>
      <c r="F7" s="369"/>
    </row>
    <row r="8" spans="1:6" ht="18.75">
      <c r="A8" s="12">
        <v>2</v>
      </c>
      <c r="B8" s="139" t="s">
        <v>29</v>
      </c>
      <c r="C8" s="96" t="s">
        <v>101</v>
      </c>
      <c r="D8" s="105">
        <v>0.059</v>
      </c>
      <c r="E8" s="177">
        <f>'B1.Luong noi.n'!$L$22*D8</f>
        <v>3628.7661807692307</v>
      </c>
      <c r="F8" s="369"/>
    </row>
    <row r="9" spans="1:6" ht="18.75">
      <c r="A9" s="229">
        <v>3</v>
      </c>
      <c r="B9" s="95" t="s">
        <v>99</v>
      </c>
      <c r="C9" s="96" t="s">
        <v>100</v>
      </c>
      <c r="D9" s="96">
        <v>0.016</v>
      </c>
      <c r="E9" s="177">
        <f>'B1.Luong noi.n'!$L$22*D9</f>
        <v>984.0721846153847</v>
      </c>
      <c r="F9" s="369"/>
    </row>
    <row r="10" spans="1:6" ht="18.75">
      <c r="A10" s="478" t="s">
        <v>36</v>
      </c>
      <c r="B10" s="479"/>
      <c r="C10" s="178"/>
      <c r="D10" s="178"/>
      <c r="E10" s="141">
        <f>SUM(E7:E9)</f>
        <v>5596.9105500000005</v>
      </c>
      <c r="F10" s="112"/>
    </row>
    <row r="11" spans="1:9" ht="18.75">
      <c r="A11" s="47"/>
      <c r="B11" s="109"/>
      <c r="C11" s="110"/>
      <c r="D11" s="110"/>
      <c r="E11" s="111"/>
      <c r="F11" s="111"/>
      <c r="G11" s="111"/>
      <c r="H11" s="112"/>
      <c r="I11" s="94"/>
    </row>
    <row r="12" spans="1:9" ht="19.5">
      <c r="A12" s="36" t="s">
        <v>93</v>
      </c>
      <c r="B12" s="53"/>
      <c r="C12" s="53"/>
      <c r="D12" s="53"/>
      <c r="E12" s="53"/>
      <c r="F12" s="53"/>
      <c r="G12" s="53"/>
      <c r="H12" s="53"/>
      <c r="I12" s="53"/>
    </row>
    <row r="13" spans="1:7" ht="38.25" customHeight="1">
      <c r="A13" s="187" t="s">
        <v>187</v>
      </c>
      <c r="B13" s="434" t="s">
        <v>188</v>
      </c>
      <c r="C13" s="480"/>
      <c r="D13" s="481"/>
      <c r="E13" s="187" t="s">
        <v>190</v>
      </c>
      <c r="F13" s="77"/>
      <c r="G13" s="77"/>
    </row>
    <row r="14" spans="1:7" ht="19.5">
      <c r="A14" s="165">
        <v>1</v>
      </c>
      <c r="B14" s="442" t="s">
        <v>35</v>
      </c>
      <c r="C14" s="442"/>
      <c r="D14" s="443"/>
      <c r="E14" s="166">
        <v>451</v>
      </c>
      <c r="F14" s="48"/>
      <c r="G14" s="114"/>
    </row>
    <row r="15" spans="1:7" ht="18.75">
      <c r="A15" s="230">
        <v>2</v>
      </c>
      <c r="B15" s="506" t="s">
        <v>151</v>
      </c>
      <c r="C15" s="506"/>
      <c r="D15" s="507"/>
      <c r="E15" s="231">
        <v>501</v>
      </c>
      <c r="F15" s="48"/>
      <c r="G15" s="48"/>
    </row>
    <row r="16" spans="1:7" ht="18.75">
      <c r="A16" s="478" t="s">
        <v>36</v>
      </c>
      <c r="B16" s="511"/>
      <c r="C16" s="232"/>
      <c r="D16" s="233"/>
      <c r="E16" s="10">
        <f>SUM(E14:E15)</f>
        <v>952</v>
      </c>
      <c r="F16" s="48"/>
      <c r="G16" s="48"/>
    </row>
    <row r="17" spans="1:7" ht="18.75">
      <c r="A17" s="367"/>
      <c r="B17" s="367"/>
      <c r="C17" s="368"/>
      <c r="D17" s="368"/>
      <c r="E17" s="48"/>
      <c r="F17" s="48"/>
      <c r="G17" s="48"/>
    </row>
    <row r="18" spans="1:7" ht="18.75" customHeight="1">
      <c r="A18" s="505" t="s">
        <v>227</v>
      </c>
      <c r="B18" s="505"/>
      <c r="C18" s="505"/>
      <c r="D18" s="505"/>
      <c r="E18" s="505"/>
      <c r="F18" s="505"/>
      <c r="G18" s="252"/>
    </row>
    <row r="19" spans="1:7" ht="19.5">
      <c r="A19" s="268" t="s">
        <v>0</v>
      </c>
      <c r="B19" s="456" t="s">
        <v>110</v>
      </c>
      <c r="C19" s="431" t="s">
        <v>112</v>
      </c>
      <c r="D19" s="431"/>
      <c r="E19" s="439" t="s">
        <v>14</v>
      </c>
      <c r="F19" s="440"/>
      <c r="G19" s="252"/>
    </row>
    <row r="20" spans="1:7" ht="19.5">
      <c r="A20" s="262">
        <v>1</v>
      </c>
      <c r="B20" s="263" t="s">
        <v>154</v>
      </c>
      <c r="C20" s="432" t="s">
        <v>175</v>
      </c>
      <c r="D20" s="432"/>
      <c r="E20" s="470">
        <f>22/100*6535</f>
        <v>1437.7</v>
      </c>
      <c r="F20" s="471"/>
      <c r="G20" s="252"/>
    </row>
    <row r="21" spans="1:7" ht="19.5">
      <c r="A21" s="262">
        <v>2</v>
      </c>
      <c r="B21" s="263" t="s">
        <v>111</v>
      </c>
      <c r="C21" s="432" t="s">
        <v>176</v>
      </c>
      <c r="D21" s="432"/>
      <c r="E21" s="470">
        <f>2/100*6535</f>
        <v>130.7</v>
      </c>
      <c r="F21" s="471"/>
      <c r="G21" s="252"/>
    </row>
    <row r="22" spans="1:9" ht="19.5">
      <c r="A22" s="449" t="s">
        <v>7</v>
      </c>
      <c r="B22" s="431"/>
      <c r="C22" s="431"/>
      <c r="D22" s="450"/>
      <c r="E22" s="470">
        <f>SUM(E20:F21)</f>
        <v>1568.4</v>
      </c>
      <c r="F22" s="471"/>
      <c r="G22" s="15"/>
      <c r="H22" s="15"/>
      <c r="I22" s="17"/>
    </row>
    <row r="23" spans="1:9" ht="19.5">
      <c r="A23" s="51"/>
      <c r="B23" s="51"/>
      <c r="C23" s="51"/>
      <c r="D23" s="51"/>
      <c r="E23" s="48"/>
      <c r="F23" s="48"/>
      <c r="G23" s="15"/>
      <c r="H23" s="15"/>
      <c r="I23" s="17"/>
    </row>
    <row r="24" spans="1:9" ht="19.5">
      <c r="A24" s="433" t="s">
        <v>191</v>
      </c>
      <c r="B24" s="433"/>
      <c r="C24" s="433"/>
      <c r="D24" s="433"/>
      <c r="E24" s="502"/>
      <c r="F24" s="502"/>
      <c r="G24" s="15"/>
      <c r="H24" s="15"/>
      <c r="I24" s="17"/>
    </row>
    <row r="25" spans="1:9" ht="30.75" customHeight="1">
      <c r="A25" s="254" t="s">
        <v>0</v>
      </c>
      <c r="B25" s="268" t="s">
        <v>117</v>
      </c>
      <c r="C25" s="449" t="s">
        <v>192</v>
      </c>
      <c r="D25" s="450"/>
      <c r="E25" s="19"/>
      <c r="F25" s="19"/>
      <c r="G25" s="15"/>
      <c r="H25" s="15"/>
      <c r="I25" s="17"/>
    </row>
    <row r="26" spans="1:9" ht="19.5">
      <c r="A26" s="275" t="s">
        <v>18</v>
      </c>
      <c r="B26" s="276" t="s">
        <v>114</v>
      </c>
      <c r="C26" s="277">
        <f>E10</f>
        <v>5596.9105500000005</v>
      </c>
      <c r="D26" s="278"/>
      <c r="E26" s="48"/>
      <c r="F26" s="48"/>
      <c r="G26" s="15"/>
      <c r="H26" s="15"/>
      <c r="I26" s="17"/>
    </row>
    <row r="27" spans="1:9" ht="33">
      <c r="A27" s="283" t="s">
        <v>75</v>
      </c>
      <c r="B27" s="284" t="s">
        <v>177</v>
      </c>
      <c r="C27" s="285">
        <f>E16</f>
        <v>952</v>
      </c>
      <c r="D27" s="286"/>
      <c r="E27" s="274"/>
      <c r="F27" s="274"/>
      <c r="G27" s="15"/>
      <c r="H27" s="15"/>
      <c r="I27" s="17"/>
    </row>
    <row r="28" spans="1:9" ht="19.5">
      <c r="A28" s="279" t="s">
        <v>113</v>
      </c>
      <c r="B28" s="280" t="s">
        <v>110</v>
      </c>
      <c r="C28" s="281">
        <f>E22</f>
        <v>1568.4</v>
      </c>
      <c r="D28" s="282"/>
      <c r="E28" s="48"/>
      <c r="F28" s="48"/>
      <c r="G28" s="15"/>
      <c r="H28" s="15"/>
      <c r="I28" s="17"/>
    </row>
    <row r="29" spans="1:9" ht="19.5">
      <c r="A29" s="449" t="s">
        <v>7</v>
      </c>
      <c r="B29" s="450"/>
      <c r="C29" s="270">
        <f>SUM(C26:C28)</f>
        <v>8117.31055</v>
      </c>
      <c r="D29" s="257"/>
      <c r="E29" s="19"/>
      <c r="F29" s="19"/>
      <c r="G29" s="234"/>
      <c r="H29" s="114"/>
      <c r="I29" s="17"/>
    </row>
    <row r="30" spans="7:9" ht="19.5">
      <c r="G30" s="19"/>
      <c r="H30" s="19"/>
      <c r="I30" s="17"/>
    </row>
    <row r="31" ht="19.5">
      <c r="I31" s="17"/>
    </row>
    <row r="32" ht="19.5">
      <c r="I32" s="17"/>
    </row>
    <row r="33" ht="19.5">
      <c r="I33" s="17"/>
    </row>
    <row r="34" ht="19.5">
      <c r="I34" s="114"/>
    </row>
    <row r="35" ht="18.75">
      <c r="I35" s="37"/>
    </row>
    <row r="36" ht="18.75">
      <c r="I36" s="37"/>
    </row>
    <row r="37" ht="18.75">
      <c r="I37" s="37"/>
    </row>
    <row r="38" ht="18.75">
      <c r="I38" s="37"/>
    </row>
    <row r="39" ht="18.75">
      <c r="I39" s="37"/>
    </row>
    <row r="40" ht="18.75">
      <c r="I40" s="37"/>
    </row>
    <row r="41" ht="18.75">
      <c r="I41" s="37"/>
    </row>
    <row r="42" ht="18.75">
      <c r="I42" s="37"/>
    </row>
    <row r="43" ht="18.75">
      <c r="I43" s="37"/>
    </row>
    <row r="44" ht="18.75">
      <c r="I44" s="37"/>
    </row>
    <row r="45" ht="18.75">
      <c r="I45" s="37"/>
    </row>
    <row r="46" ht="18.75">
      <c r="I46" s="37"/>
    </row>
    <row r="47" ht="19.5">
      <c r="I47" s="17"/>
    </row>
    <row r="48" ht="19.5">
      <c r="I48" s="17"/>
    </row>
    <row r="49" ht="19.5">
      <c r="I49" s="17"/>
    </row>
  </sheetData>
  <mergeCells count="20">
    <mergeCell ref="A24:F24"/>
    <mergeCell ref="C25:D25"/>
    <mergeCell ref="A29:B29"/>
    <mergeCell ref="A1:H1"/>
    <mergeCell ref="A2:I2"/>
    <mergeCell ref="A3:H3"/>
    <mergeCell ref="A10:B10"/>
    <mergeCell ref="A16:B16"/>
    <mergeCell ref="B13:D13"/>
    <mergeCell ref="B14:D14"/>
    <mergeCell ref="A18:F18"/>
    <mergeCell ref="B15:D15"/>
    <mergeCell ref="C19:D19"/>
    <mergeCell ref="A22:D22"/>
    <mergeCell ref="E22:F22"/>
    <mergeCell ref="E19:F19"/>
    <mergeCell ref="C20:D20"/>
    <mergeCell ref="E20:F20"/>
    <mergeCell ref="C21:D21"/>
    <mergeCell ref="E21:F21"/>
  </mergeCells>
  <printOptions/>
  <pageMargins left="1.12" right="0.75" top="0.85" bottom="1" header="0.5" footer="0.5"/>
  <pageSetup horizontalDpi="600" verticalDpi="600" orientation="portrait" r:id="rId2"/>
  <headerFooter alignWithMargins="0">
    <oddFooter>&amp;C7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64">
      <selection activeCell="B73" sqref="B73"/>
    </sheetView>
  </sheetViews>
  <sheetFormatPr defaultColWidth="8.88671875" defaultRowHeight="18.75"/>
  <cols>
    <col min="1" max="1" width="36.99609375" style="0" customWidth="1"/>
    <col min="2" max="2" width="8.99609375" style="0" customWidth="1"/>
    <col min="3" max="3" width="8.5546875" style="0" customWidth="1"/>
    <col min="4" max="4" width="8.6640625" style="0" customWidth="1"/>
    <col min="5" max="5" width="8.3359375" style="0" customWidth="1"/>
  </cols>
  <sheetData>
    <row r="1" spans="1:5" ht="19.5">
      <c r="A1" s="441" t="s">
        <v>233</v>
      </c>
      <c r="B1" s="441"/>
      <c r="C1" s="441"/>
      <c r="D1" s="441"/>
      <c r="E1" s="441"/>
    </row>
    <row r="2" spans="1:6" ht="21">
      <c r="A2" s="98"/>
      <c r="B2" s="412" t="s">
        <v>144</v>
      </c>
      <c r="C2" s="99"/>
      <c r="D2" s="407" t="s">
        <v>193</v>
      </c>
      <c r="E2" s="390"/>
      <c r="F2" s="54"/>
    </row>
    <row r="3" spans="1:5" ht="19.5">
      <c r="A3" s="238" t="s">
        <v>90</v>
      </c>
      <c r="B3" s="512" t="s">
        <v>156</v>
      </c>
      <c r="C3" s="513"/>
      <c r="D3" s="513"/>
      <c r="E3" s="514"/>
    </row>
    <row r="4" spans="1:5" ht="19.5">
      <c r="A4" s="239"/>
      <c r="B4" s="248" t="s">
        <v>157</v>
      </c>
      <c r="C4" s="248" t="s">
        <v>160</v>
      </c>
      <c r="D4" s="248" t="s">
        <v>158</v>
      </c>
      <c r="E4" s="248" t="s">
        <v>159</v>
      </c>
    </row>
    <row r="5" spans="1:5" s="242" customFormat="1" ht="17.25">
      <c r="A5" s="240" t="s">
        <v>194</v>
      </c>
      <c r="B5" s="249">
        <f>B6+B11+B12</f>
        <v>175550.8125</v>
      </c>
      <c r="C5" s="249">
        <f>C6+C11+C12</f>
        <v>175550.8125</v>
      </c>
      <c r="D5" s="249">
        <f>D6+D11+D12</f>
        <v>195731.8125</v>
      </c>
      <c r="E5" s="249">
        <f>E6+E11+E12</f>
        <v>195731.8125</v>
      </c>
    </row>
    <row r="6" spans="1:5" s="242" customFormat="1" ht="16.5">
      <c r="A6" s="243" t="s">
        <v>195</v>
      </c>
      <c r="B6" s="241">
        <f>B7+B8</f>
        <v>133753</v>
      </c>
      <c r="C6" s="241">
        <f>C7+C8</f>
        <v>133753</v>
      </c>
      <c r="D6" s="241">
        <f>D7+D8</f>
        <v>149129</v>
      </c>
      <c r="E6" s="241">
        <f>E7+E8</f>
        <v>149129</v>
      </c>
    </row>
    <row r="7" spans="1:5" s="242" customFormat="1" ht="16.5">
      <c r="A7" s="243" t="s">
        <v>234</v>
      </c>
      <c r="B7" s="241">
        <v>30753</v>
      </c>
      <c r="C7" s="241">
        <v>30753</v>
      </c>
      <c r="D7" s="241">
        <v>46129</v>
      </c>
      <c r="E7" s="241">
        <v>46129</v>
      </c>
    </row>
    <row r="8" spans="1:5" s="242" customFormat="1" ht="16.5">
      <c r="A8" s="235" t="s">
        <v>245</v>
      </c>
      <c r="B8" s="241">
        <f>SUM(B9:B10)</f>
        <v>103000</v>
      </c>
      <c r="C8" s="241">
        <f>SUM(C9:C10)</f>
        <v>103000</v>
      </c>
      <c r="D8" s="241">
        <f>SUM(D9:D10)</f>
        <v>103000</v>
      </c>
      <c r="E8" s="241">
        <f>SUM(E9:E10)</f>
        <v>103000</v>
      </c>
    </row>
    <row r="9" spans="1:5" s="242" customFormat="1" ht="16.5">
      <c r="A9" s="243" t="s">
        <v>247</v>
      </c>
      <c r="B9" s="241">
        <v>100000</v>
      </c>
      <c r="C9" s="241">
        <v>100000</v>
      </c>
      <c r="D9" s="241">
        <v>100000</v>
      </c>
      <c r="E9" s="241">
        <v>100000</v>
      </c>
    </row>
    <row r="10" spans="1:5" s="242" customFormat="1" ht="16.5">
      <c r="A10" s="243" t="s">
        <v>235</v>
      </c>
      <c r="B10" s="241">
        <v>3000</v>
      </c>
      <c r="C10" s="241">
        <v>3000</v>
      </c>
      <c r="D10" s="241">
        <v>3000</v>
      </c>
      <c r="E10" s="241">
        <v>3000</v>
      </c>
    </row>
    <row r="11" spans="1:5" s="242" customFormat="1" ht="16.5">
      <c r="A11" s="243" t="s">
        <v>236</v>
      </c>
      <c r="B11" s="241">
        <f>B6*5%</f>
        <v>6687.650000000001</v>
      </c>
      <c r="C11" s="241">
        <f>C6*5%</f>
        <v>6687.650000000001</v>
      </c>
      <c r="D11" s="241">
        <f>D6*5%</f>
        <v>7456.450000000001</v>
      </c>
      <c r="E11" s="241">
        <f>E6*5%</f>
        <v>7456.450000000001</v>
      </c>
    </row>
    <row r="12" spans="1:5" s="242" customFormat="1" ht="16.5">
      <c r="A12" s="243" t="s">
        <v>239</v>
      </c>
      <c r="B12" s="241">
        <f>25%*(B6+B11)</f>
        <v>35110.1625</v>
      </c>
      <c r="C12" s="241">
        <f>25%*(C6+C11)</f>
        <v>35110.1625</v>
      </c>
      <c r="D12" s="241">
        <f>25%*(D6+D11)</f>
        <v>39146.3625</v>
      </c>
      <c r="E12" s="241">
        <f>25%*(E6+E11)</f>
        <v>39146.3625</v>
      </c>
    </row>
    <row r="13" spans="1:5" s="242" customFormat="1" ht="17.25">
      <c r="A13" s="244" t="s">
        <v>238</v>
      </c>
      <c r="B13" s="235"/>
      <c r="C13" s="235"/>
      <c r="D13" s="235"/>
      <c r="E13" s="235"/>
    </row>
    <row r="14" spans="1:5" s="242" customFormat="1" ht="17.25">
      <c r="A14" s="244" t="s">
        <v>240</v>
      </c>
      <c r="B14" s="245">
        <f>B15+B20+B21</f>
        <v>175550.8125</v>
      </c>
      <c r="C14" s="245">
        <f>C15+C20+C21</f>
        <v>175550.8125</v>
      </c>
      <c r="D14" s="245">
        <f>D15+D20+D21</f>
        <v>195731.8125</v>
      </c>
      <c r="E14" s="245">
        <f>E15+E20+E21</f>
        <v>195731.8125</v>
      </c>
    </row>
    <row r="15" spans="1:5" s="242" customFormat="1" ht="16.5">
      <c r="A15" s="243" t="s">
        <v>195</v>
      </c>
      <c r="B15" s="241">
        <f>B16+B17</f>
        <v>133753</v>
      </c>
      <c r="C15" s="241">
        <f>C16+C17</f>
        <v>133753</v>
      </c>
      <c r="D15" s="241">
        <f>D16+D17</f>
        <v>149129</v>
      </c>
      <c r="E15" s="241">
        <f>E16+E17</f>
        <v>149129</v>
      </c>
    </row>
    <row r="16" spans="1:5" s="242" customFormat="1" ht="16.5">
      <c r="A16" s="243" t="s">
        <v>234</v>
      </c>
      <c r="B16" s="241">
        <v>30753</v>
      </c>
      <c r="C16" s="241">
        <v>30753</v>
      </c>
      <c r="D16" s="241">
        <v>46129</v>
      </c>
      <c r="E16" s="241">
        <v>46129</v>
      </c>
    </row>
    <row r="17" spans="1:5" s="242" customFormat="1" ht="16.5">
      <c r="A17" s="235" t="s">
        <v>245</v>
      </c>
      <c r="B17" s="241">
        <f>SUM(B18:B19)</f>
        <v>103000</v>
      </c>
      <c r="C17" s="241">
        <f>SUM(C18:C19)</f>
        <v>103000</v>
      </c>
      <c r="D17" s="241">
        <f>SUM(D18:D19)</f>
        <v>103000</v>
      </c>
      <c r="E17" s="241">
        <f>SUM(E18:E19)</f>
        <v>103000</v>
      </c>
    </row>
    <row r="18" spans="1:5" s="242" customFormat="1" ht="16.5">
      <c r="A18" s="243" t="s">
        <v>246</v>
      </c>
      <c r="B18" s="241">
        <v>100000</v>
      </c>
      <c r="C18" s="241">
        <v>100000</v>
      </c>
      <c r="D18" s="241">
        <v>100000</v>
      </c>
      <c r="E18" s="241">
        <v>100000</v>
      </c>
    </row>
    <row r="19" spans="1:5" s="242" customFormat="1" ht="16.5">
      <c r="A19" s="243" t="s">
        <v>241</v>
      </c>
      <c r="B19" s="241">
        <v>3000</v>
      </c>
      <c r="C19" s="241">
        <v>3000</v>
      </c>
      <c r="D19" s="241">
        <v>3000</v>
      </c>
      <c r="E19" s="241">
        <v>3000</v>
      </c>
    </row>
    <row r="20" spans="1:5" s="242" customFormat="1" ht="16.5">
      <c r="A20" s="243" t="s">
        <v>242</v>
      </c>
      <c r="B20" s="241">
        <f>B15*5%</f>
        <v>6687.650000000001</v>
      </c>
      <c r="C20" s="241">
        <f>C15*5%</f>
        <v>6687.650000000001</v>
      </c>
      <c r="D20" s="241">
        <f>D15*5%</f>
        <v>7456.450000000001</v>
      </c>
      <c r="E20" s="241">
        <f>E15*5%</f>
        <v>7456.450000000001</v>
      </c>
    </row>
    <row r="21" spans="1:5" s="242" customFormat="1" ht="16.5">
      <c r="A21" s="243" t="s">
        <v>237</v>
      </c>
      <c r="B21" s="241">
        <f>25%*(B15+B20)</f>
        <v>35110.1625</v>
      </c>
      <c r="C21" s="241">
        <f>25%*(C15+C20)</f>
        <v>35110.1625</v>
      </c>
      <c r="D21" s="241">
        <f>25%*(D15+D20)</f>
        <v>39146.3625</v>
      </c>
      <c r="E21" s="241">
        <f>25%*(E15+E20)</f>
        <v>39146.3625</v>
      </c>
    </row>
    <row r="22" spans="1:5" s="242" customFormat="1" ht="17.25">
      <c r="A22" s="244" t="s">
        <v>243</v>
      </c>
      <c r="B22" s="245">
        <f>B23+B28+B29</f>
        <v>108613.3125</v>
      </c>
      <c r="C22" s="245">
        <f>C23+C28+C29</f>
        <v>108613.3125</v>
      </c>
      <c r="D22" s="245">
        <f>D23+D28+D29</f>
        <v>128794.3125</v>
      </c>
      <c r="E22" s="245">
        <f>E23+E28+E29</f>
        <v>128794.3125</v>
      </c>
    </row>
    <row r="23" spans="1:5" s="242" customFormat="1" ht="16.5">
      <c r="A23" s="243" t="s">
        <v>195</v>
      </c>
      <c r="B23" s="241">
        <f>B24+B25</f>
        <v>82753</v>
      </c>
      <c r="C23" s="241">
        <f>C24+C25</f>
        <v>82753</v>
      </c>
      <c r="D23" s="241">
        <f>D24+D25</f>
        <v>98129</v>
      </c>
      <c r="E23" s="241">
        <f>E24+E25</f>
        <v>98129</v>
      </c>
    </row>
    <row r="24" spans="1:5" s="242" customFormat="1" ht="16.5">
      <c r="A24" s="243" t="s">
        <v>234</v>
      </c>
      <c r="B24" s="241">
        <v>30753</v>
      </c>
      <c r="C24" s="241">
        <v>30753</v>
      </c>
      <c r="D24" s="241">
        <v>46129</v>
      </c>
      <c r="E24" s="241">
        <v>46129</v>
      </c>
    </row>
    <row r="25" spans="1:5" s="242" customFormat="1" ht="16.5">
      <c r="A25" s="235" t="s">
        <v>245</v>
      </c>
      <c r="B25" s="241">
        <f>SUM(B26:B27)</f>
        <v>52000</v>
      </c>
      <c r="C25" s="241">
        <f>SUM(C26:C27)</f>
        <v>52000</v>
      </c>
      <c r="D25" s="241">
        <f>SUM(D26:D27)</f>
        <v>52000</v>
      </c>
      <c r="E25" s="241">
        <f>SUM(E26:E27)</f>
        <v>52000</v>
      </c>
    </row>
    <row r="26" spans="1:5" s="242" customFormat="1" ht="16.5">
      <c r="A26" s="243" t="s">
        <v>246</v>
      </c>
      <c r="B26" s="241">
        <v>50000</v>
      </c>
      <c r="C26" s="241">
        <v>50000</v>
      </c>
      <c r="D26" s="241">
        <v>50000</v>
      </c>
      <c r="E26" s="241">
        <v>50000</v>
      </c>
    </row>
    <row r="27" spans="1:5" s="242" customFormat="1" ht="16.5">
      <c r="A27" s="243" t="s">
        <v>241</v>
      </c>
      <c r="B27" s="241">
        <v>2000</v>
      </c>
      <c r="C27" s="241">
        <v>2000</v>
      </c>
      <c r="D27" s="241">
        <v>2000</v>
      </c>
      <c r="E27" s="241">
        <v>2000</v>
      </c>
    </row>
    <row r="28" spans="1:5" s="242" customFormat="1" ht="16.5">
      <c r="A28" s="243" t="s">
        <v>236</v>
      </c>
      <c r="B28" s="241">
        <f>B23*5%</f>
        <v>4137.650000000001</v>
      </c>
      <c r="C28" s="241">
        <f>C23*5%</f>
        <v>4137.650000000001</v>
      </c>
      <c r="D28" s="241">
        <f>D23*5%</f>
        <v>4906.45</v>
      </c>
      <c r="E28" s="241">
        <f>E23*5%</f>
        <v>4906.45</v>
      </c>
    </row>
    <row r="29" spans="1:5" s="242" customFormat="1" ht="16.5">
      <c r="A29" s="243" t="s">
        <v>237</v>
      </c>
      <c r="B29" s="241">
        <f>25%*(B23+B28)</f>
        <v>21722.6625</v>
      </c>
      <c r="C29" s="241">
        <f>25%*(C23+C28)</f>
        <v>21722.6625</v>
      </c>
      <c r="D29" s="241">
        <f>25%*(D23+D28)</f>
        <v>25758.8625</v>
      </c>
      <c r="E29" s="241">
        <f>25%*(E23+E28)</f>
        <v>25758.8625</v>
      </c>
    </row>
    <row r="30" spans="1:5" s="242" customFormat="1" ht="17.25">
      <c r="A30" s="244" t="s">
        <v>244</v>
      </c>
      <c r="B30" s="245">
        <f>B31+B36+B37</f>
        <v>33963.5625</v>
      </c>
      <c r="C30" s="245">
        <f>C31+C36+C37</f>
        <v>33963.5625</v>
      </c>
      <c r="D30" s="245">
        <f>D31+D36+D37</f>
        <v>33963.5625</v>
      </c>
      <c r="E30" s="245">
        <f>E31+E36+E37</f>
        <v>33963.5625</v>
      </c>
    </row>
    <row r="31" spans="1:5" s="242" customFormat="1" ht="16.5">
      <c r="A31" s="243" t="s">
        <v>195</v>
      </c>
      <c r="B31" s="241">
        <f>B32+B33</f>
        <v>25877</v>
      </c>
      <c r="C31" s="241">
        <f>C32+C33</f>
        <v>25877</v>
      </c>
      <c r="D31" s="241">
        <f>D32+D33</f>
        <v>25877</v>
      </c>
      <c r="E31" s="241">
        <f>E32+E33</f>
        <v>25877</v>
      </c>
    </row>
    <row r="32" spans="1:5" s="242" customFormat="1" ht="16.5">
      <c r="A32" s="243" t="s">
        <v>234</v>
      </c>
      <c r="B32" s="241">
        <v>15377</v>
      </c>
      <c r="C32" s="241">
        <v>15377</v>
      </c>
      <c r="D32" s="241">
        <v>15377</v>
      </c>
      <c r="E32" s="241">
        <v>15377</v>
      </c>
    </row>
    <row r="33" spans="1:5" s="242" customFormat="1" ht="16.5">
      <c r="A33" s="235" t="s">
        <v>245</v>
      </c>
      <c r="B33" s="241">
        <f>SUM(B34:B35)</f>
        <v>10500</v>
      </c>
      <c r="C33" s="241">
        <f>SUM(C34:C35)</f>
        <v>10500</v>
      </c>
      <c r="D33" s="241">
        <f>SUM(D34:D35)</f>
        <v>10500</v>
      </c>
      <c r="E33" s="241">
        <f>SUM(E34:E35)</f>
        <v>10500</v>
      </c>
    </row>
    <row r="34" spans="1:5" s="242" customFormat="1" ht="16.5">
      <c r="A34" s="243" t="s">
        <v>246</v>
      </c>
      <c r="B34" s="241">
        <v>10000</v>
      </c>
      <c r="C34" s="241">
        <v>10000</v>
      </c>
      <c r="D34" s="241">
        <v>10000</v>
      </c>
      <c r="E34" s="241">
        <v>10000</v>
      </c>
    </row>
    <row r="35" spans="1:5" s="242" customFormat="1" ht="16.5">
      <c r="A35" s="243" t="s">
        <v>241</v>
      </c>
      <c r="B35" s="241">
        <v>500</v>
      </c>
      <c r="C35" s="241">
        <v>500</v>
      </c>
      <c r="D35" s="241">
        <v>500</v>
      </c>
      <c r="E35" s="241">
        <v>500</v>
      </c>
    </row>
    <row r="36" spans="1:5" s="242" customFormat="1" ht="16.5">
      <c r="A36" s="243" t="s">
        <v>236</v>
      </c>
      <c r="B36" s="241">
        <f>B31*5%</f>
        <v>1293.8500000000001</v>
      </c>
      <c r="C36" s="241">
        <f>C31*5%</f>
        <v>1293.8500000000001</v>
      </c>
      <c r="D36" s="241">
        <f>D31*5%</f>
        <v>1293.8500000000001</v>
      </c>
      <c r="E36" s="241">
        <f>E31*5%</f>
        <v>1293.8500000000001</v>
      </c>
    </row>
    <row r="37" spans="1:5" s="242" customFormat="1" ht="16.5">
      <c r="A37" s="243" t="s">
        <v>237</v>
      </c>
      <c r="B37" s="241">
        <f>25%*(B31+B36)</f>
        <v>6792.7125</v>
      </c>
      <c r="C37" s="241">
        <f>25%*(C31+C36)</f>
        <v>6792.7125</v>
      </c>
      <c r="D37" s="241">
        <f>25%*(D31+D36)</f>
        <v>6792.7125</v>
      </c>
      <c r="E37" s="241">
        <f>25%*(E31+E36)</f>
        <v>6792.7125</v>
      </c>
    </row>
    <row r="38" spans="1:5" s="242" customFormat="1" ht="17.25">
      <c r="A38" s="244" t="s">
        <v>92</v>
      </c>
      <c r="B38" s="246" t="s">
        <v>6</v>
      </c>
      <c r="C38" s="246" t="s">
        <v>5</v>
      </c>
      <c r="D38" s="246" t="s">
        <v>48</v>
      </c>
      <c r="E38" s="246" t="s">
        <v>61</v>
      </c>
    </row>
    <row r="39" spans="1:5" s="242" customFormat="1" ht="17.25">
      <c r="A39" s="244" t="s">
        <v>248</v>
      </c>
      <c r="B39" s="245">
        <f>B40+B45+B46</f>
        <v>56932.3125</v>
      </c>
      <c r="C39" s="245">
        <f>C40+C45+C46</f>
        <v>56932.3125</v>
      </c>
      <c r="D39" s="245">
        <f>D40+D45+D46</f>
        <v>56932.3125</v>
      </c>
      <c r="E39" s="245">
        <f>E40+E45+E46</f>
        <v>56932.3125</v>
      </c>
    </row>
    <row r="40" spans="1:5" s="242" customFormat="1" ht="16.5">
      <c r="A40" s="243" t="s">
        <v>195</v>
      </c>
      <c r="B40" s="241">
        <f>B41+B42</f>
        <v>43377</v>
      </c>
      <c r="C40" s="241">
        <f>C41+C42</f>
        <v>43377</v>
      </c>
      <c r="D40" s="241">
        <f>D41+D42</f>
        <v>43377</v>
      </c>
      <c r="E40" s="241">
        <f>E41+E42</f>
        <v>43377</v>
      </c>
    </row>
    <row r="41" spans="1:5" s="242" customFormat="1" ht="16.5">
      <c r="A41" s="243" t="s">
        <v>234</v>
      </c>
      <c r="B41" s="241">
        <v>15377</v>
      </c>
      <c r="C41" s="241">
        <v>15377</v>
      </c>
      <c r="D41" s="241">
        <v>15377</v>
      </c>
      <c r="E41" s="241">
        <v>15377</v>
      </c>
    </row>
    <row r="42" spans="1:5" s="242" customFormat="1" ht="16.5">
      <c r="A42" s="235" t="s">
        <v>245</v>
      </c>
      <c r="B42" s="241">
        <f>SUM(B43:B44)</f>
        <v>28000</v>
      </c>
      <c r="C42" s="241">
        <f>SUM(C43:C44)</f>
        <v>28000</v>
      </c>
      <c r="D42" s="241">
        <f>SUM(D43:D44)</f>
        <v>28000</v>
      </c>
      <c r="E42" s="241">
        <f>SUM(E43:E44)</f>
        <v>28000</v>
      </c>
    </row>
    <row r="43" spans="1:5" s="242" customFormat="1" ht="16.5">
      <c r="A43" s="243" t="s">
        <v>246</v>
      </c>
      <c r="B43" s="241">
        <v>25000</v>
      </c>
      <c r="C43" s="241">
        <v>25000</v>
      </c>
      <c r="D43" s="241">
        <v>25000</v>
      </c>
      <c r="E43" s="241">
        <v>25000</v>
      </c>
    </row>
    <row r="44" spans="1:5" s="242" customFormat="1" ht="16.5">
      <c r="A44" s="243" t="s">
        <v>241</v>
      </c>
      <c r="B44" s="241">
        <v>3000</v>
      </c>
      <c r="C44" s="241">
        <v>3000</v>
      </c>
      <c r="D44" s="241">
        <v>3000</v>
      </c>
      <c r="E44" s="241">
        <v>3000</v>
      </c>
    </row>
    <row r="45" spans="1:5" s="242" customFormat="1" ht="16.5">
      <c r="A45" s="243" t="s">
        <v>236</v>
      </c>
      <c r="B45" s="241">
        <f>B40*5%</f>
        <v>2168.85</v>
      </c>
      <c r="C45" s="241">
        <f>C40*5%</f>
        <v>2168.85</v>
      </c>
      <c r="D45" s="241">
        <f>D40*5%</f>
        <v>2168.85</v>
      </c>
      <c r="E45" s="241">
        <f>E40*5%</f>
        <v>2168.85</v>
      </c>
    </row>
    <row r="46" spans="1:5" s="242" customFormat="1" ht="16.5">
      <c r="A46" s="243" t="s">
        <v>239</v>
      </c>
      <c r="B46" s="241">
        <f>25%*(B40+B45)</f>
        <v>11386.4625</v>
      </c>
      <c r="C46" s="241">
        <f>25%*(C40+C45)</f>
        <v>11386.4625</v>
      </c>
      <c r="D46" s="241">
        <f>25%*(D40+D45)</f>
        <v>11386.4625</v>
      </c>
      <c r="E46" s="241">
        <f>25%*(E40+E45)</f>
        <v>11386.4625</v>
      </c>
    </row>
    <row r="47" spans="1:5" s="242" customFormat="1" ht="17.25">
      <c r="A47" s="244" t="s">
        <v>249</v>
      </c>
      <c r="B47" s="245">
        <f>B48+B53+B54</f>
        <v>42494.8125</v>
      </c>
      <c r="C47" s="245">
        <f>C48+C53+C54</f>
        <v>42494.8125</v>
      </c>
      <c r="D47" s="245">
        <f>D48+D53+D54</f>
        <v>42494.8125</v>
      </c>
      <c r="E47" s="245">
        <f>E48+E53+E54</f>
        <v>42494.8125</v>
      </c>
    </row>
    <row r="48" spans="1:5" s="242" customFormat="1" ht="16.5">
      <c r="A48" s="243" t="s">
        <v>195</v>
      </c>
      <c r="B48" s="241">
        <f>B49+B50</f>
        <v>32377</v>
      </c>
      <c r="C48" s="241">
        <f>C49+C50</f>
        <v>32377</v>
      </c>
      <c r="D48" s="241">
        <f>D49+D50</f>
        <v>32377</v>
      </c>
      <c r="E48" s="241">
        <f>E49+E50</f>
        <v>32377</v>
      </c>
    </row>
    <row r="49" spans="1:5" s="242" customFormat="1" ht="16.5">
      <c r="A49" s="243" t="s">
        <v>234</v>
      </c>
      <c r="B49" s="241">
        <v>15377</v>
      </c>
      <c r="C49" s="241">
        <v>15377</v>
      </c>
      <c r="D49" s="241">
        <v>15377</v>
      </c>
      <c r="E49" s="241">
        <v>15377</v>
      </c>
    </row>
    <row r="50" spans="1:5" s="242" customFormat="1" ht="16.5">
      <c r="A50" s="235" t="s">
        <v>245</v>
      </c>
      <c r="B50" s="241">
        <f>SUM(B51:B52)</f>
        <v>17000</v>
      </c>
      <c r="C50" s="241">
        <f>SUM(C51:C52)</f>
        <v>17000</v>
      </c>
      <c r="D50" s="241">
        <f>SUM(D51:D52)</f>
        <v>17000</v>
      </c>
      <c r="E50" s="241">
        <f>SUM(E51:E52)</f>
        <v>17000</v>
      </c>
    </row>
    <row r="51" spans="1:5" s="242" customFormat="1" ht="16.5">
      <c r="A51" s="243" t="s">
        <v>250</v>
      </c>
      <c r="B51" s="241">
        <v>15000</v>
      </c>
      <c r="C51" s="241">
        <v>15000</v>
      </c>
      <c r="D51" s="241">
        <v>15000</v>
      </c>
      <c r="E51" s="241">
        <v>15000</v>
      </c>
    </row>
    <row r="52" spans="1:5" s="242" customFormat="1" ht="16.5">
      <c r="A52" s="243" t="s">
        <v>251</v>
      </c>
      <c r="B52" s="241">
        <v>2000</v>
      </c>
      <c r="C52" s="241">
        <v>2000</v>
      </c>
      <c r="D52" s="241">
        <v>2000</v>
      </c>
      <c r="E52" s="241">
        <v>2000</v>
      </c>
    </row>
    <row r="53" spans="1:5" s="242" customFormat="1" ht="16.5">
      <c r="A53" s="243" t="s">
        <v>236</v>
      </c>
      <c r="B53" s="241">
        <f>B48*5%</f>
        <v>1618.8500000000001</v>
      </c>
      <c r="C53" s="241">
        <f>C48*5%</f>
        <v>1618.8500000000001</v>
      </c>
      <c r="D53" s="241">
        <f>D48*5%</f>
        <v>1618.8500000000001</v>
      </c>
      <c r="E53" s="241">
        <f>E48*5%</f>
        <v>1618.8500000000001</v>
      </c>
    </row>
    <row r="54" spans="1:5" s="242" customFormat="1" ht="16.5">
      <c r="A54" s="243" t="s">
        <v>239</v>
      </c>
      <c r="B54" s="241">
        <f>25%*(B48+B53)</f>
        <v>8498.9625</v>
      </c>
      <c r="C54" s="241">
        <f>25%*(C48+C53)</f>
        <v>8498.9625</v>
      </c>
      <c r="D54" s="241">
        <f>25%*(D48+D53)</f>
        <v>8498.9625</v>
      </c>
      <c r="E54" s="241">
        <f>25%*(E48+E53)</f>
        <v>8498.9625</v>
      </c>
    </row>
    <row r="55" spans="1:5" s="242" customFormat="1" ht="17.25">
      <c r="A55" s="244" t="s">
        <v>244</v>
      </c>
      <c r="B55" s="245">
        <f>B56+B61+B62</f>
        <v>27401.0625</v>
      </c>
      <c r="C55" s="245">
        <f>C56+C61+C62</f>
        <v>27401.0625</v>
      </c>
      <c r="D55" s="245">
        <f>D56+D61+D62</f>
        <v>27401.0625</v>
      </c>
      <c r="E55" s="245">
        <f>E56+E61+E62</f>
        <v>27401.0625</v>
      </c>
    </row>
    <row r="56" spans="1:5" s="242" customFormat="1" ht="16.5">
      <c r="A56" s="243" t="s">
        <v>91</v>
      </c>
      <c r="B56" s="241">
        <f>B57+B58</f>
        <v>20877</v>
      </c>
      <c r="C56" s="241">
        <f>C57+C58</f>
        <v>20877</v>
      </c>
      <c r="D56" s="241">
        <f>D57+D58</f>
        <v>20877</v>
      </c>
      <c r="E56" s="241">
        <f>E57+E58</f>
        <v>20877</v>
      </c>
    </row>
    <row r="57" spans="1:5" s="242" customFormat="1" ht="16.5">
      <c r="A57" s="243" t="s">
        <v>234</v>
      </c>
      <c r="B57" s="241">
        <v>15377</v>
      </c>
      <c r="C57" s="241">
        <v>15377</v>
      </c>
      <c r="D57" s="241">
        <v>15377</v>
      </c>
      <c r="E57" s="241">
        <v>15377</v>
      </c>
    </row>
    <row r="58" spans="1:5" s="242" customFormat="1" ht="16.5">
      <c r="A58" s="235" t="s">
        <v>245</v>
      </c>
      <c r="B58" s="241">
        <f>SUM(B59:B60)</f>
        <v>5500</v>
      </c>
      <c r="C58" s="241">
        <f>SUM(C59:C60)</f>
        <v>5500</v>
      </c>
      <c r="D58" s="241">
        <f>SUM(D59:D60)</f>
        <v>5500</v>
      </c>
      <c r="E58" s="241">
        <f>SUM(E59:E60)</f>
        <v>5500</v>
      </c>
    </row>
    <row r="59" spans="1:5" s="242" customFormat="1" ht="16.5">
      <c r="A59" s="243" t="s">
        <v>246</v>
      </c>
      <c r="B59" s="241">
        <v>5000</v>
      </c>
      <c r="C59" s="241">
        <v>5000</v>
      </c>
      <c r="D59" s="241">
        <v>5000</v>
      </c>
      <c r="E59" s="241">
        <v>5000</v>
      </c>
    </row>
    <row r="60" spans="1:5" s="242" customFormat="1" ht="16.5">
      <c r="A60" s="243" t="s">
        <v>241</v>
      </c>
      <c r="B60" s="241">
        <v>500</v>
      </c>
      <c r="C60" s="241">
        <v>500</v>
      </c>
      <c r="D60" s="241">
        <v>500</v>
      </c>
      <c r="E60" s="241">
        <v>500</v>
      </c>
    </row>
    <row r="61" spans="1:5" s="242" customFormat="1" ht="16.5">
      <c r="A61" s="243" t="s">
        <v>236</v>
      </c>
      <c r="B61" s="241">
        <f>B56*5%</f>
        <v>1043.8500000000001</v>
      </c>
      <c r="C61" s="241">
        <f>C56*5%</f>
        <v>1043.8500000000001</v>
      </c>
      <c r="D61" s="241">
        <f>D56*5%</f>
        <v>1043.8500000000001</v>
      </c>
      <c r="E61" s="241">
        <f>E56*5%</f>
        <v>1043.8500000000001</v>
      </c>
    </row>
    <row r="62" spans="1:5" s="242" customFormat="1" ht="16.5">
      <c r="A62" s="243" t="s">
        <v>239</v>
      </c>
      <c r="B62" s="241">
        <f>25%*(B56+B61)</f>
        <v>5480.2125</v>
      </c>
      <c r="C62" s="241">
        <f>25%*(C56+C61)</f>
        <v>5480.2125</v>
      </c>
      <c r="D62" s="241">
        <f>25%*(D56+D61)</f>
        <v>5480.2125</v>
      </c>
      <c r="E62" s="241">
        <f>25%*(E56+E61)</f>
        <v>5480.2125</v>
      </c>
    </row>
    <row r="63" s="242" customFormat="1" ht="15"/>
    <row r="64" spans="1:4" s="242" customFormat="1" ht="18.75">
      <c r="A64" s="409" t="s">
        <v>145</v>
      </c>
      <c r="B64" s="414"/>
      <c r="C64" s="414"/>
      <c r="D64" s="414"/>
    </row>
    <row r="65" spans="1:4" s="242" customFormat="1" ht="18.75">
      <c r="A65" s="414" t="s">
        <v>199</v>
      </c>
      <c r="B65" s="414"/>
      <c r="C65" s="414"/>
      <c r="D65" s="414"/>
    </row>
    <row r="66" spans="1:4" s="242" customFormat="1" ht="18.75">
      <c r="A66" s="414" t="s">
        <v>197</v>
      </c>
      <c r="B66" s="414"/>
      <c r="C66" s="414"/>
      <c r="D66" s="414"/>
    </row>
    <row r="67" spans="1:4" s="242" customFormat="1" ht="19.5">
      <c r="A67" s="415" t="s">
        <v>253</v>
      </c>
      <c r="B67" s="414"/>
      <c r="C67" s="414"/>
      <c r="D67" s="414"/>
    </row>
    <row r="68" spans="1:4" s="242" customFormat="1" ht="18.75">
      <c r="A68" s="414" t="s">
        <v>198</v>
      </c>
      <c r="B68" s="414"/>
      <c r="C68" s="414"/>
      <c r="D68" s="414"/>
    </row>
    <row r="69" spans="1:4" s="242" customFormat="1" ht="18.75">
      <c r="A69" s="414" t="s">
        <v>252</v>
      </c>
      <c r="B69" s="414"/>
      <c r="C69" s="414"/>
      <c r="D69" s="414"/>
    </row>
    <row r="70" s="242" customFormat="1" ht="15"/>
    <row r="71" s="242" customFormat="1" ht="15"/>
  </sheetData>
  <mergeCells count="2">
    <mergeCell ref="A1:E1"/>
    <mergeCell ref="B3:E3"/>
  </mergeCells>
  <printOptions/>
  <pageMargins left="1.11" right="0.15748031496063" top="0.97" bottom="1.11" header="0.511811023622047" footer="0.29"/>
  <pageSetup horizontalDpi="600" verticalDpi="600" orientation="portrait" r:id="rId2"/>
  <headerFooter alignWithMargins="0">
    <oddFooter>&amp;C10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30" sqref="B30"/>
    </sheetView>
  </sheetViews>
  <sheetFormatPr defaultColWidth="8.88671875" defaultRowHeight="18.75"/>
  <cols>
    <col min="1" max="1" width="5.5546875" style="0" customWidth="1"/>
    <col min="2" max="2" width="20.3359375" style="0" customWidth="1"/>
  </cols>
  <sheetData>
    <row r="1" spans="1:12" ht="18.75">
      <c r="A1" s="461" t="s">
        <v>196</v>
      </c>
      <c r="B1" s="461"/>
      <c r="C1" s="461"/>
      <c r="D1" s="461"/>
      <c r="E1" s="461"/>
      <c r="F1" s="461"/>
      <c r="G1" s="461"/>
      <c r="H1" s="461"/>
      <c r="I1" s="1"/>
      <c r="J1" s="1"/>
      <c r="K1" s="1"/>
      <c r="L1" s="1"/>
    </row>
    <row r="2" spans="1:12" ht="18.75">
      <c r="A2" s="518" t="s">
        <v>256</v>
      </c>
      <c r="B2" s="518"/>
      <c r="C2" s="518"/>
      <c r="D2" s="518"/>
      <c r="E2" s="518"/>
      <c r="F2" s="518"/>
      <c r="G2" s="518"/>
      <c r="H2" s="518"/>
      <c r="I2" s="1"/>
      <c r="J2" s="1"/>
      <c r="K2" s="1"/>
      <c r="L2" s="1"/>
    </row>
    <row r="3" spans="1:12" ht="18.75">
      <c r="A3" s="510" t="s">
        <v>155</v>
      </c>
      <c r="B3" s="510"/>
      <c r="C3" s="510"/>
      <c r="D3" s="510"/>
      <c r="E3" s="510"/>
      <c r="F3" s="510"/>
      <c r="G3" s="510"/>
      <c r="H3" s="510"/>
      <c r="I3" s="7"/>
      <c r="J3" s="7"/>
      <c r="K3" s="7"/>
      <c r="L3" s="7"/>
    </row>
    <row r="4" spans="1:12" ht="21">
      <c r="A4" s="404"/>
      <c r="B4" s="409"/>
      <c r="C4" s="409"/>
      <c r="D4" s="409"/>
      <c r="E4" s="7" t="s">
        <v>126</v>
      </c>
      <c r="F4" s="7"/>
      <c r="G4" s="409"/>
      <c r="H4" s="412"/>
      <c r="I4" s="1"/>
      <c r="J4" s="1"/>
      <c r="K4" s="1"/>
      <c r="L4" s="1"/>
    </row>
    <row r="5" spans="1:12" ht="19.5">
      <c r="A5" s="31" t="s">
        <v>40</v>
      </c>
      <c r="B5" s="1"/>
      <c r="C5" s="1"/>
      <c r="D5" s="6"/>
      <c r="E5" s="6"/>
      <c r="F5" s="370"/>
      <c r="G5" s="337"/>
      <c r="H5" s="407" t="s">
        <v>193</v>
      </c>
      <c r="I5" s="247"/>
      <c r="J5" s="1"/>
      <c r="K5" s="1"/>
      <c r="L5" s="1"/>
    </row>
    <row r="6" spans="1:12" ht="25.5">
      <c r="A6" s="355" t="s">
        <v>173</v>
      </c>
      <c r="B6" s="355" t="s">
        <v>19</v>
      </c>
      <c r="C6" s="356" t="s">
        <v>31</v>
      </c>
      <c r="D6" s="356" t="s">
        <v>142</v>
      </c>
      <c r="E6" s="371" t="s">
        <v>143</v>
      </c>
      <c r="F6" s="155" t="s">
        <v>64</v>
      </c>
      <c r="G6" s="156" t="s">
        <v>65</v>
      </c>
      <c r="H6" s="156" t="s">
        <v>83</v>
      </c>
      <c r="I6" s="140" t="s">
        <v>37</v>
      </c>
      <c r="J6" s="296"/>
      <c r="K6" s="296"/>
      <c r="L6" s="296"/>
    </row>
    <row r="7" spans="1:12" ht="18.75">
      <c r="A7" s="372">
        <v>1</v>
      </c>
      <c r="B7" s="139" t="s">
        <v>255</v>
      </c>
      <c r="C7" s="297" t="s">
        <v>127</v>
      </c>
      <c r="D7" s="297">
        <v>0.049</v>
      </c>
      <c r="E7" s="306">
        <f>'B1.Luong noi.n'!L14*D7</f>
        <v>4133.945873076923</v>
      </c>
      <c r="F7" s="160">
        <f>E7</f>
        <v>4133.945873076923</v>
      </c>
      <c r="G7" s="287">
        <f>F7</f>
        <v>4133.945873076923</v>
      </c>
      <c r="H7" s="287">
        <f>G7</f>
        <v>4133.945873076923</v>
      </c>
      <c r="I7" s="287">
        <f>SUM(F7:H7)</f>
        <v>12401.83761923077</v>
      </c>
      <c r="J7" s="298"/>
      <c r="K7" s="298"/>
      <c r="L7" s="298"/>
    </row>
    <row r="8" spans="1:12" ht="18.75">
      <c r="A8" s="372">
        <v>2</v>
      </c>
      <c r="B8" s="139" t="s">
        <v>254</v>
      </c>
      <c r="C8" s="297" t="s">
        <v>128</v>
      </c>
      <c r="D8" s="299">
        <v>0.016</v>
      </c>
      <c r="E8" s="306">
        <f>'B1.Luong noi.n'!L15*D8</f>
        <v>1470.5698153846154</v>
      </c>
      <c r="F8" s="287">
        <f aca="true" t="shared" si="0" ref="F8:H10">E8</f>
        <v>1470.5698153846154</v>
      </c>
      <c r="G8" s="287">
        <f t="shared" si="0"/>
        <v>1470.5698153846154</v>
      </c>
      <c r="H8" s="287">
        <f t="shared" si="0"/>
        <v>1470.5698153846154</v>
      </c>
      <c r="I8" s="287">
        <f>SUM(F8:H8)</f>
        <v>4411.709446153846</v>
      </c>
      <c r="J8" s="298"/>
      <c r="K8" s="298"/>
      <c r="L8" s="298"/>
    </row>
    <row r="9" spans="1:12" ht="18.75">
      <c r="A9" s="372">
        <v>3</v>
      </c>
      <c r="B9" s="139" t="s">
        <v>129</v>
      </c>
      <c r="C9" s="297" t="s">
        <v>130</v>
      </c>
      <c r="D9" s="299">
        <v>0.017</v>
      </c>
      <c r="E9" s="306">
        <f>'B1.Luong noi.n'!L16*D9</f>
        <v>1690.7347384615389</v>
      </c>
      <c r="F9" s="287">
        <f t="shared" si="0"/>
        <v>1690.7347384615389</v>
      </c>
      <c r="G9" s="287">
        <f t="shared" si="0"/>
        <v>1690.7347384615389</v>
      </c>
      <c r="H9" s="287">
        <f t="shared" si="0"/>
        <v>1690.7347384615389</v>
      </c>
      <c r="I9" s="287">
        <f>SUM(F9:H9)</f>
        <v>5072.204215384617</v>
      </c>
      <c r="J9" s="298"/>
      <c r="K9" s="298"/>
      <c r="L9" s="298"/>
    </row>
    <row r="10" spans="1:12" ht="18.75">
      <c r="A10" s="372">
        <v>4</v>
      </c>
      <c r="B10" s="139" t="s">
        <v>45</v>
      </c>
      <c r="C10" s="297" t="s">
        <v>128</v>
      </c>
      <c r="D10" s="299">
        <f>20/10000</f>
        <v>0.002</v>
      </c>
      <c r="E10" s="306">
        <f>'B1.Luong noi.n'!L17*D10</f>
        <v>213.99871153846158</v>
      </c>
      <c r="F10" s="195">
        <f t="shared" si="0"/>
        <v>213.99871153846158</v>
      </c>
      <c r="G10" s="195">
        <f t="shared" si="0"/>
        <v>213.99871153846158</v>
      </c>
      <c r="H10" s="195">
        <f t="shared" si="0"/>
        <v>213.99871153846158</v>
      </c>
      <c r="I10" s="195">
        <f>SUM(F10:H10)</f>
        <v>641.9961346153848</v>
      </c>
      <c r="J10" s="298"/>
      <c r="K10" s="298"/>
      <c r="L10" s="298"/>
    </row>
    <row r="11" spans="1:12" ht="18.75">
      <c r="A11" s="519" t="s">
        <v>36</v>
      </c>
      <c r="B11" s="520"/>
      <c r="C11" s="373"/>
      <c r="D11" s="373"/>
      <c r="E11" s="374">
        <f>SUM(E7:E10)</f>
        <v>7509.249138461539</v>
      </c>
      <c r="F11" s="289">
        <f>SUM(F6:F10)</f>
        <v>7509.249138461539</v>
      </c>
      <c r="G11" s="289">
        <f>SUM(G6:G10)</f>
        <v>7509.249138461539</v>
      </c>
      <c r="H11" s="289">
        <f>SUM(H6:H10)</f>
        <v>7509.249138461539</v>
      </c>
      <c r="I11" s="289">
        <f>SUM(I6:I10)</f>
        <v>22527.747415384616</v>
      </c>
      <c r="J11" s="300"/>
      <c r="K11" s="300"/>
      <c r="L11" s="300"/>
    </row>
    <row r="12" spans="1:12" ht="18.75">
      <c r="A12" s="301"/>
      <c r="B12" s="302"/>
      <c r="C12" s="303"/>
      <c r="D12" s="303"/>
      <c r="E12" s="304"/>
      <c r="F12" s="304"/>
      <c r="G12" s="304"/>
      <c r="H12" s="305"/>
      <c r="I12" s="298"/>
      <c r="J12" s="298"/>
      <c r="K12" s="298"/>
      <c r="L12" s="298"/>
    </row>
    <row r="13" spans="1:12" ht="19.5">
      <c r="A13" s="36" t="s">
        <v>186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31.5">
      <c r="A14" s="174" t="s">
        <v>187</v>
      </c>
      <c r="B14" s="434" t="s">
        <v>188</v>
      </c>
      <c r="C14" s="480"/>
      <c r="D14" s="481"/>
      <c r="E14" s="375" t="s">
        <v>228</v>
      </c>
      <c r="F14" s="375" t="s">
        <v>229</v>
      </c>
      <c r="G14" s="375" t="s">
        <v>230</v>
      </c>
      <c r="H14" s="187" t="s">
        <v>37</v>
      </c>
      <c r="I14" s="113"/>
      <c r="J14" s="113"/>
      <c r="K14" s="113"/>
      <c r="L14" s="113"/>
    </row>
    <row r="15" spans="1:12" ht="19.5">
      <c r="A15" s="376">
        <v>1</v>
      </c>
      <c r="B15" s="515" t="s">
        <v>35</v>
      </c>
      <c r="C15" s="516"/>
      <c r="D15" s="517"/>
      <c r="E15" s="10">
        <v>500</v>
      </c>
      <c r="F15" s="10">
        <v>500</v>
      </c>
      <c r="G15" s="10">
        <v>500</v>
      </c>
      <c r="H15" s="10">
        <f>SUM(E15:G15)</f>
        <v>1500</v>
      </c>
      <c r="I15" s="17"/>
      <c r="J15" s="17"/>
      <c r="K15" s="17"/>
      <c r="L15" s="17"/>
    </row>
    <row r="16" spans="1:12" ht="19.5">
      <c r="A16" s="376">
        <v>2</v>
      </c>
      <c r="B16" s="515" t="s">
        <v>131</v>
      </c>
      <c r="C16" s="516"/>
      <c r="D16" s="517"/>
      <c r="E16" s="10">
        <v>500</v>
      </c>
      <c r="F16" s="10">
        <v>500</v>
      </c>
      <c r="G16" s="10">
        <v>500</v>
      </c>
      <c r="H16" s="10">
        <f>SUM(E16:G16)</f>
        <v>1500</v>
      </c>
      <c r="I16" s="17"/>
      <c r="J16" s="17"/>
      <c r="K16" s="17"/>
      <c r="L16" s="17"/>
    </row>
    <row r="17" spans="1:12" ht="19.5">
      <c r="A17" s="376">
        <v>3</v>
      </c>
      <c r="B17" s="515" t="s">
        <v>38</v>
      </c>
      <c r="C17" s="516"/>
      <c r="D17" s="517"/>
      <c r="E17" s="10">
        <v>500</v>
      </c>
      <c r="F17" s="10">
        <v>500</v>
      </c>
      <c r="G17" s="10">
        <v>500</v>
      </c>
      <c r="H17" s="10">
        <f>SUM(E17:G17)</f>
        <v>1500</v>
      </c>
      <c r="I17" s="17"/>
      <c r="J17" s="17"/>
      <c r="K17" s="17"/>
      <c r="L17" s="17"/>
    </row>
    <row r="18" spans="1:12" ht="19.5">
      <c r="A18" s="423" t="s">
        <v>222</v>
      </c>
      <c r="B18" s="424"/>
      <c r="C18" s="424"/>
      <c r="D18" s="425"/>
      <c r="E18" s="324">
        <f>SUM(E15:E17)</f>
        <v>1500</v>
      </c>
      <c r="F18" s="324">
        <f>SUM(F15:F17)</f>
        <v>1500</v>
      </c>
      <c r="G18" s="324">
        <f>SUM(G15:G17)</f>
        <v>1500</v>
      </c>
      <c r="H18" s="377">
        <f>SUM(H15:H17)</f>
        <v>4500</v>
      </c>
      <c r="I18" s="17"/>
      <c r="J18" s="17"/>
      <c r="K18" s="17"/>
      <c r="L18" s="17"/>
    </row>
    <row r="19" spans="1:12" ht="19.5">
      <c r="A19" s="307"/>
      <c r="B19" s="523"/>
      <c r="C19" s="523"/>
      <c r="D19" s="523"/>
      <c r="E19" s="523"/>
      <c r="F19" s="523"/>
      <c r="G19" s="308"/>
      <c r="H19" s="19"/>
      <c r="I19" s="17"/>
      <c r="J19" s="17"/>
      <c r="K19" s="17"/>
      <c r="L19" s="17"/>
    </row>
    <row r="20" spans="1:12" ht="19.5">
      <c r="A20" s="365" t="s">
        <v>231</v>
      </c>
      <c r="B20" s="329"/>
      <c r="C20" s="329"/>
      <c r="D20" s="329"/>
      <c r="E20" s="329"/>
      <c r="F20" s="329"/>
      <c r="G20" s="308"/>
      <c r="H20" s="19"/>
      <c r="I20" s="17"/>
      <c r="J20" s="17"/>
      <c r="K20" s="17"/>
      <c r="L20" s="17"/>
    </row>
    <row r="21" spans="1:12" ht="18.75" customHeight="1">
      <c r="A21" s="264" t="s">
        <v>0</v>
      </c>
      <c r="B21" s="255" t="s">
        <v>110</v>
      </c>
      <c r="C21" s="431" t="s">
        <v>112</v>
      </c>
      <c r="D21" s="431"/>
      <c r="E21" s="439" t="s">
        <v>14</v>
      </c>
      <c r="F21" s="440"/>
      <c r="K21" s="52"/>
      <c r="L21" s="7"/>
    </row>
    <row r="22" spans="1:12" ht="18.75">
      <c r="A22" s="262">
        <v>1</v>
      </c>
      <c r="B22" s="263" t="s">
        <v>154</v>
      </c>
      <c r="C22" s="432" t="s">
        <v>175</v>
      </c>
      <c r="D22" s="432"/>
      <c r="E22" s="521">
        <f>22/100*(I11+H18)</f>
        <v>5946.104431384616</v>
      </c>
      <c r="F22" s="522"/>
      <c r="K22" s="7"/>
      <c r="L22" s="7"/>
    </row>
    <row r="23" spans="1:12" ht="18.75">
      <c r="A23" s="262">
        <v>2</v>
      </c>
      <c r="B23" s="263" t="s">
        <v>111</v>
      </c>
      <c r="C23" s="432" t="s">
        <v>232</v>
      </c>
      <c r="D23" s="432"/>
      <c r="E23" s="521">
        <f>2/100*(I11+H18)</f>
        <v>540.5549483076924</v>
      </c>
      <c r="F23" s="522"/>
      <c r="K23" s="7"/>
      <c r="L23" s="7"/>
    </row>
    <row r="24" spans="1:6" ht="18.75">
      <c r="A24" s="449" t="s">
        <v>7</v>
      </c>
      <c r="B24" s="431"/>
      <c r="C24" s="431"/>
      <c r="D24" s="450"/>
      <c r="E24" s="524">
        <f>SUM(E22:F23)</f>
        <v>6486.659379692308</v>
      </c>
      <c r="F24" s="525"/>
    </row>
    <row r="27" spans="1:7" ht="18.75">
      <c r="A27" s="433" t="s">
        <v>121</v>
      </c>
      <c r="B27" s="433"/>
      <c r="C27" s="433"/>
      <c r="D27" s="433"/>
      <c r="E27" s="433"/>
      <c r="F27" s="433"/>
      <c r="G27" s="48"/>
    </row>
    <row r="28" spans="1:7" ht="18.75">
      <c r="A28" s="254" t="s">
        <v>0</v>
      </c>
      <c r="B28" s="268" t="s">
        <v>117</v>
      </c>
      <c r="C28" s="449" t="s">
        <v>69</v>
      </c>
      <c r="D28" s="450"/>
      <c r="E28" s="267" t="s">
        <v>60</v>
      </c>
      <c r="F28" s="266" t="s">
        <v>118</v>
      </c>
      <c r="G28" s="267" t="s">
        <v>125</v>
      </c>
    </row>
    <row r="29" spans="1:7" ht="18.75">
      <c r="A29" s="268" t="s">
        <v>18</v>
      </c>
      <c r="B29" s="269" t="s">
        <v>114</v>
      </c>
      <c r="C29" s="294">
        <f>I11</f>
        <v>22527.747415384616</v>
      </c>
      <c r="D29" s="257"/>
      <c r="E29" s="309">
        <f>C29/3</f>
        <v>7509.249138461539</v>
      </c>
      <c r="F29" s="309">
        <f>C29/3</f>
        <v>7509.249138461539</v>
      </c>
      <c r="G29" s="309">
        <f>C29/3</f>
        <v>7509.249138461539</v>
      </c>
    </row>
    <row r="30" spans="1:7" ht="49.5">
      <c r="A30" s="268" t="s">
        <v>75</v>
      </c>
      <c r="B30" s="269" t="s">
        <v>177</v>
      </c>
      <c r="C30" s="294">
        <f>H18</f>
        <v>4500</v>
      </c>
      <c r="D30" s="257"/>
      <c r="E30" s="310">
        <f>C30/3</f>
        <v>1500</v>
      </c>
      <c r="F30" s="310">
        <f>C30/3</f>
        <v>1500</v>
      </c>
      <c r="G30" s="310">
        <f>C30/3</f>
        <v>1500</v>
      </c>
    </row>
    <row r="31" spans="1:7" ht="18.75">
      <c r="A31" s="268" t="s">
        <v>113</v>
      </c>
      <c r="B31" s="269" t="s">
        <v>110</v>
      </c>
      <c r="C31" s="294">
        <f>E24</f>
        <v>6486.659379692308</v>
      </c>
      <c r="D31" s="257"/>
      <c r="E31" s="309">
        <f>C31/3</f>
        <v>2162.2197932307695</v>
      </c>
      <c r="F31" s="309">
        <f>C31/3</f>
        <v>2162.2197932307695</v>
      </c>
      <c r="G31" s="309">
        <f>C31/3</f>
        <v>2162.2197932307695</v>
      </c>
    </row>
    <row r="32" spans="1:7" ht="18.75">
      <c r="A32" s="449" t="s">
        <v>7</v>
      </c>
      <c r="B32" s="450"/>
      <c r="C32" s="295">
        <f>SUM(C29:C31)</f>
        <v>33514.406795076924</v>
      </c>
      <c r="D32" s="257"/>
      <c r="E32" s="311">
        <f>C32/3</f>
        <v>11171.468931692309</v>
      </c>
      <c r="F32" s="311">
        <f>C32/3</f>
        <v>11171.468931692309</v>
      </c>
      <c r="G32" s="311">
        <f>C32/3</f>
        <v>11171.468931692309</v>
      </c>
    </row>
  </sheetData>
  <mergeCells count="21">
    <mergeCell ref="B16:D16"/>
    <mergeCell ref="B19:F19"/>
    <mergeCell ref="A32:B32"/>
    <mergeCell ref="A27:F27"/>
    <mergeCell ref="C28:D28"/>
    <mergeCell ref="C23:D23"/>
    <mergeCell ref="E23:F23"/>
    <mergeCell ref="A24:D24"/>
    <mergeCell ref="E24:F24"/>
    <mergeCell ref="C21:D21"/>
    <mergeCell ref="B17:D17"/>
    <mergeCell ref="C22:D22"/>
    <mergeCell ref="E22:F22"/>
    <mergeCell ref="A18:D18"/>
    <mergeCell ref="E21:F21"/>
    <mergeCell ref="B14:D14"/>
    <mergeCell ref="B15:D15"/>
    <mergeCell ref="A1:H1"/>
    <mergeCell ref="A2:H2"/>
    <mergeCell ref="A3:H3"/>
    <mergeCell ref="A11:B11"/>
  </mergeCells>
  <printOptions/>
  <pageMargins left="1.03" right="0.75" top="0.86" bottom="1" header="0.32" footer="0.5"/>
  <pageSetup horizontalDpi="600" verticalDpi="600" orientation="landscape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8.75"/>
  <cols>
    <col min="1" max="1" width="20.6640625" style="73" customWidth="1"/>
    <col min="2" max="2" width="0.88671875" style="73" customWidth="1"/>
    <col min="3" max="3" width="22.21484375" style="73" customWidth="1"/>
    <col min="4" max="16384" width="6.3359375" style="73" customWidth="1"/>
  </cols>
  <sheetData>
    <row r="1" spans="1:3" ht="18.75">
      <c r="A1"/>
      <c r="C1"/>
    </row>
    <row r="2" ht="19.5" thickBot="1">
      <c r="A2"/>
    </row>
    <row r="3" spans="1:3" ht="19.5" thickBot="1">
      <c r="A3"/>
      <c r="C3"/>
    </row>
    <row r="4" spans="1:3" ht="18.75">
      <c r="A4"/>
      <c r="C4"/>
    </row>
    <row r="5" ht="18.75">
      <c r="C5"/>
    </row>
    <row r="6" ht="19.5" thickBot="1">
      <c r="C6"/>
    </row>
    <row r="7" spans="1:3" ht="18.75">
      <c r="A7"/>
      <c r="C7"/>
    </row>
    <row r="8" spans="1:3" ht="18.75">
      <c r="A8"/>
      <c r="C8"/>
    </row>
    <row r="9" spans="1:3" ht="18.75">
      <c r="A9"/>
      <c r="C9"/>
    </row>
    <row r="10" spans="1:3" ht="18.75">
      <c r="A10"/>
      <c r="C10"/>
    </row>
    <row r="11" spans="1:3" ht="19.5" thickBot="1">
      <c r="A11"/>
      <c r="C11"/>
    </row>
    <row r="12" ht="18.75">
      <c r="C12"/>
    </row>
    <row r="13" ht="19.5" thickBot="1">
      <c r="C13"/>
    </row>
    <row r="14" spans="1:3" ht="19.5" thickBot="1">
      <c r="A14"/>
      <c r="C14"/>
    </row>
    <row r="15" ht="18.75">
      <c r="A15"/>
    </row>
    <row r="16" ht="19.5" thickBot="1">
      <c r="A16"/>
    </row>
    <row r="17" spans="1:3" ht="19.5" thickBot="1">
      <c r="A17"/>
      <c r="C17"/>
    </row>
    <row r="18" ht="18.75">
      <c r="C18"/>
    </row>
    <row r="19" ht="18.75">
      <c r="C19"/>
    </row>
    <row r="20" spans="1:3" ht="18.75">
      <c r="A20"/>
      <c r="C20"/>
    </row>
    <row r="21" spans="1:3" ht="18.75">
      <c r="A21" s="93"/>
      <c r="C21"/>
    </row>
    <row r="22" spans="1:3" ht="18.75">
      <c r="A22"/>
      <c r="C22"/>
    </row>
    <row r="23" spans="1:3" ht="18.75">
      <c r="A23"/>
      <c r="C23"/>
    </row>
    <row r="24" ht="18.75">
      <c r="A24"/>
    </row>
    <row r="25" ht="18.75">
      <c r="A25"/>
    </row>
    <row r="26" spans="1:3" ht="19.5" thickBot="1">
      <c r="A26"/>
      <c r="C26" s="93"/>
    </row>
    <row r="27" spans="1:3" ht="18.75">
      <c r="A27"/>
      <c r="C27"/>
    </row>
    <row r="28" spans="1:3" ht="18.75">
      <c r="A28"/>
      <c r="C28"/>
    </row>
    <row r="29" spans="1:3" ht="18.75">
      <c r="A29"/>
      <c r="C29"/>
    </row>
    <row r="30" spans="1:3" ht="18.75">
      <c r="A30"/>
      <c r="C30"/>
    </row>
    <row r="31" spans="1:3" ht="18.75">
      <c r="A31"/>
      <c r="C31"/>
    </row>
    <row r="32" spans="1:3" ht="18.75">
      <c r="A32"/>
      <c r="C32"/>
    </row>
    <row r="33" spans="1:3" ht="18.75">
      <c r="A33"/>
      <c r="C33"/>
    </row>
    <row r="34" spans="1:3" ht="18.75">
      <c r="A34"/>
      <c r="C34"/>
    </row>
    <row r="35" spans="1:3" ht="18.75">
      <c r="A35"/>
      <c r="C35"/>
    </row>
    <row r="36" spans="1:3" ht="18.75">
      <c r="A36"/>
      <c r="C36"/>
    </row>
    <row r="37" ht="18.75">
      <c r="A37"/>
    </row>
    <row r="38" ht="18.75">
      <c r="A38"/>
    </row>
    <row r="39" spans="1:3" ht="18.75">
      <c r="A39"/>
      <c r="C39" s="93"/>
    </row>
    <row r="40" spans="1:3" ht="18.75">
      <c r="A40"/>
      <c r="C40"/>
    </row>
    <row r="41" spans="1:3" ht="18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Dia Chinh Ben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P-TN</dc:creator>
  <cp:keywords/>
  <dc:description/>
  <cp:lastModifiedBy>UBND</cp:lastModifiedBy>
  <cp:lastPrinted>2007-01-17T09:37:51Z</cp:lastPrinted>
  <dcterms:created xsi:type="dcterms:W3CDTF">2005-07-12T06:49:43Z</dcterms:created>
  <dcterms:modified xsi:type="dcterms:W3CDTF">2007-02-08T06:45:33Z</dcterms:modified>
  <cp:category/>
  <cp:version/>
  <cp:contentType/>
  <cp:contentStatus/>
</cp:coreProperties>
</file>